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270" windowWidth="15255" windowHeight="7920" activeTab="1"/>
  </bookViews>
  <sheets>
    <sheet name="PSC7- Corning" sheetId="1" r:id="rId1"/>
    <sheet name="TSA Rate " sheetId="2" r:id="rId2"/>
    <sheet name="2014-2015 TaxYear Based on 2013" sheetId="3" r:id="rId3"/>
  </sheets>
  <definedNames>
    <definedName name="_xlnm.Print_Area" localSheetId="1">'TSA Rate '!$A$1:$S$34</definedName>
  </definedNames>
  <calcPr calcId="125725"/>
</workbook>
</file>

<file path=xl/calcChain.xml><?xml version="1.0" encoding="utf-8"?>
<calcChain xmlns="http://schemas.openxmlformats.org/spreadsheetml/2006/main">
  <c r="D19" i="1"/>
  <c r="E19"/>
  <c r="F19"/>
  <c r="G19"/>
  <c r="H19"/>
  <c r="I19"/>
  <c r="J19"/>
  <c r="K19"/>
  <c r="L19"/>
  <c r="Q20" i="2"/>
  <c r="C40" i="3"/>
  <c r="C33"/>
  <c r="Q17" i="2"/>
  <c r="Q15"/>
  <c r="Q12"/>
  <c r="Q11"/>
  <c r="Q23"/>
  <c r="P23"/>
  <c r="S23"/>
  <c r="C32" i="1" s="1"/>
  <c r="D63" i="3"/>
  <c r="C63"/>
  <c r="B63"/>
  <c r="E62"/>
  <c r="E61"/>
  <c r="E60"/>
  <c r="E59"/>
  <c r="E58"/>
  <c r="E57"/>
  <c r="E56"/>
  <c r="E55"/>
  <c r="E54"/>
  <c r="E53"/>
  <c r="E52"/>
  <c r="E51"/>
  <c r="E63"/>
  <c r="F63"/>
  <c r="B42"/>
  <c r="B43"/>
  <c r="B45"/>
  <c r="B41"/>
  <c r="C10"/>
  <c r="C41"/>
  <c r="B10"/>
  <c r="B23"/>
  <c r="B25"/>
  <c r="B27"/>
  <c r="C4"/>
  <c r="U11" i="2"/>
  <c r="O32"/>
  <c r="AT31"/>
  <c r="AS31"/>
  <c r="AR31"/>
  <c r="AQ31"/>
  <c r="AP31"/>
  <c r="AO31"/>
  <c r="AN31"/>
  <c r="AM31"/>
  <c r="AL31"/>
  <c r="AK31"/>
  <c r="AJ31"/>
  <c r="AI31"/>
  <c r="AF31"/>
  <c r="AE31"/>
  <c r="AD31"/>
  <c r="AC31"/>
  <c r="AB31"/>
  <c r="AB32"/>
  <c r="AA31"/>
  <c r="Z31"/>
  <c r="Y31"/>
  <c r="X31"/>
  <c r="X32"/>
  <c r="W31"/>
  <c r="V31"/>
  <c r="U31"/>
  <c r="AG31"/>
  <c r="P31"/>
  <c r="S31"/>
  <c r="N31"/>
  <c r="M30"/>
  <c r="M32"/>
  <c r="L30"/>
  <c r="L32"/>
  <c r="K30"/>
  <c r="K32"/>
  <c r="J30"/>
  <c r="J32"/>
  <c r="I30"/>
  <c r="I32"/>
  <c r="H30"/>
  <c r="H32"/>
  <c r="G30"/>
  <c r="G32"/>
  <c r="F30"/>
  <c r="F32"/>
  <c r="E30"/>
  <c r="E32"/>
  <c r="D30"/>
  <c r="D32"/>
  <c r="C30"/>
  <c r="C32"/>
  <c r="B30"/>
  <c r="B32"/>
  <c r="AT29"/>
  <c r="AS29"/>
  <c r="AR29"/>
  <c r="AQ29"/>
  <c r="AP29"/>
  <c r="AO29"/>
  <c r="AN29"/>
  <c r="AM29"/>
  <c r="AL29"/>
  <c r="AK29"/>
  <c r="AJ29"/>
  <c r="AI29"/>
  <c r="AF29"/>
  <c r="AE29"/>
  <c r="AD29"/>
  <c r="AC29"/>
  <c r="AB29"/>
  <c r="AA29"/>
  <c r="Z29"/>
  <c r="Y29"/>
  <c r="X29"/>
  <c r="W29"/>
  <c r="V29"/>
  <c r="U29"/>
  <c r="AG29"/>
  <c r="P29"/>
  <c r="S29"/>
  <c r="N29"/>
  <c r="AT28"/>
  <c r="AS28"/>
  <c r="AR28"/>
  <c r="AQ28"/>
  <c r="AP28"/>
  <c r="AO28"/>
  <c r="AN28"/>
  <c r="AM28"/>
  <c r="AL28"/>
  <c r="AK28"/>
  <c r="AJ28"/>
  <c r="AI28"/>
  <c r="AF28"/>
  <c r="AF32"/>
  <c r="AE28"/>
  <c r="AD28"/>
  <c r="AD32"/>
  <c r="AC28"/>
  <c r="AC32"/>
  <c r="AB28"/>
  <c r="AA28"/>
  <c r="AA32"/>
  <c r="Z28"/>
  <c r="Y28"/>
  <c r="Y32"/>
  <c r="X28"/>
  <c r="W28"/>
  <c r="W32"/>
  <c r="V28"/>
  <c r="U28"/>
  <c r="U32"/>
  <c r="P28"/>
  <c r="S28"/>
  <c r="N28"/>
  <c r="N30"/>
  <c r="N32"/>
  <c r="O23"/>
  <c r="N21"/>
  <c r="AT20"/>
  <c r="AS20"/>
  <c r="AR20"/>
  <c r="AQ20"/>
  <c r="AP20"/>
  <c r="AO20"/>
  <c r="AN20"/>
  <c r="AM20"/>
  <c r="AL20"/>
  <c r="AK20"/>
  <c r="AJ20"/>
  <c r="AI20"/>
  <c r="P20"/>
  <c r="M20"/>
  <c r="AD20"/>
  <c r="L20"/>
  <c r="AC20"/>
  <c r="K20"/>
  <c r="AB20"/>
  <c r="J20"/>
  <c r="AA20"/>
  <c r="I20"/>
  <c r="Z20"/>
  <c r="H20"/>
  <c r="Y20"/>
  <c r="G20"/>
  <c r="X20"/>
  <c r="F20"/>
  <c r="W20"/>
  <c r="E20"/>
  <c r="V20"/>
  <c r="D20"/>
  <c r="U20"/>
  <c r="C20"/>
  <c r="AF20"/>
  <c r="B20"/>
  <c r="AE20"/>
  <c r="N20"/>
  <c r="AT17"/>
  <c r="AS17"/>
  <c r="AR17"/>
  <c r="AQ17"/>
  <c r="AP17"/>
  <c r="AO17"/>
  <c r="AN17"/>
  <c r="AM17"/>
  <c r="AL17"/>
  <c r="AK17"/>
  <c r="AJ17"/>
  <c r="AI17"/>
  <c r="AD17"/>
  <c r="M17"/>
  <c r="L17"/>
  <c r="AC17"/>
  <c r="K17"/>
  <c r="AB17"/>
  <c r="J17"/>
  <c r="I17"/>
  <c r="Z17"/>
  <c r="H17"/>
  <c r="Y17"/>
  <c r="G17"/>
  <c r="X17"/>
  <c r="F17"/>
  <c r="E17"/>
  <c r="V17"/>
  <c r="D17"/>
  <c r="U17"/>
  <c r="C17"/>
  <c r="AF17"/>
  <c r="B17"/>
  <c r="N17"/>
  <c r="M16"/>
  <c r="M18"/>
  <c r="M23"/>
  <c r="L16"/>
  <c r="L18"/>
  <c r="K16"/>
  <c r="J16"/>
  <c r="J18"/>
  <c r="J23"/>
  <c r="I16"/>
  <c r="I18"/>
  <c r="I23"/>
  <c r="H16"/>
  <c r="G16"/>
  <c r="G18"/>
  <c r="F16"/>
  <c r="F23"/>
  <c r="E16"/>
  <c r="E18"/>
  <c r="E23"/>
  <c r="D16"/>
  <c r="D18"/>
  <c r="C16"/>
  <c r="B16"/>
  <c r="AT15"/>
  <c r="AS15"/>
  <c r="AR15"/>
  <c r="AQ15"/>
  <c r="AP15"/>
  <c r="AO15"/>
  <c r="AN15"/>
  <c r="AM15"/>
  <c r="AL15"/>
  <c r="AK15"/>
  <c r="AJ15"/>
  <c r="AI15"/>
  <c r="AF15"/>
  <c r="AE15"/>
  <c r="AD15"/>
  <c r="AC15"/>
  <c r="AB15"/>
  <c r="AA15"/>
  <c r="Z15"/>
  <c r="Y15"/>
  <c r="X15"/>
  <c r="W15"/>
  <c r="V15"/>
  <c r="U15"/>
  <c r="N15"/>
  <c r="AT14"/>
  <c r="AS14"/>
  <c r="AR14"/>
  <c r="AQ14"/>
  <c r="AP14"/>
  <c r="AO14"/>
  <c r="AN14"/>
  <c r="AM14"/>
  <c r="AL14"/>
  <c r="AK14"/>
  <c r="AJ14"/>
  <c r="AI14"/>
  <c r="AF14"/>
  <c r="AE14"/>
  <c r="AD14"/>
  <c r="AC14"/>
  <c r="AB14"/>
  <c r="AA14"/>
  <c r="Z14"/>
  <c r="Y14"/>
  <c r="X14"/>
  <c r="W14"/>
  <c r="V14"/>
  <c r="U14"/>
  <c r="AG14"/>
  <c r="P14"/>
  <c r="N14"/>
  <c r="P13"/>
  <c r="R13"/>
  <c r="AA13" s="1"/>
  <c r="AA23" s="1"/>
  <c r="AA33" s="1"/>
  <c r="N13"/>
  <c r="AT12"/>
  <c r="AS12"/>
  <c r="AR12"/>
  <c r="AQ12"/>
  <c r="AP12"/>
  <c r="AO12"/>
  <c r="AN12"/>
  <c r="AM12"/>
  <c r="AL12"/>
  <c r="AK12"/>
  <c r="AJ12"/>
  <c r="AI12"/>
  <c r="AF12"/>
  <c r="AE12"/>
  <c r="AD12"/>
  <c r="AC12"/>
  <c r="AB12"/>
  <c r="AA12"/>
  <c r="Z12"/>
  <c r="Y12"/>
  <c r="X12"/>
  <c r="W12"/>
  <c r="V12"/>
  <c r="U12"/>
  <c r="N12"/>
  <c r="AT11"/>
  <c r="AS11"/>
  <c r="AR11"/>
  <c r="AQ11"/>
  <c r="AP11"/>
  <c r="AO11"/>
  <c r="AN11"/>
  <c r="AM11"/>
  <c r="AL11"/>
  <c r="AK11"/>
  <c r="AJ11"/>
  <c r="AI11"/>
  <c r="AF11"/>
  <c r="AE11"/>
  <c r="AD11"/>
  <c r="AC11"/>
  <c r="AB11"/>
  <c r="AA11"/>
  <c r="Z11"/>
  <c r="Y11"/>
  <c r="X11"/>
  <c r="W11"/>
  <c r="AG11"/>
  <c r="V11"/>
  <c r="P11"/>
  <c r="N11"/>
  <c r="N16"/>
  <c r="N18"/>
  <c r="B23"/>
  <c r="B18"/>
  <c r="D23"/>
  <c r="H23"/>
  <c r="L23"/>
  <c r="G23"/>
  <c r="K23"/>
  <c r="W17"/>
  <c r="AA17"/>
  <c r="C18"/>
  <c r="AG28"/>
  <c r="AG32"/>
  <c r="C23"/>
  <c r="N23"/>
  <c r="AG12"/>
  <c r="AE32"/>
  <c r="AE17"/>
  <c r="AG15"/>
  <c r="F18"/>
  <c r="V32"/>
  <c r="Z32"/>
  <c r="AG17"/>
  <c r="AE13"/>
  <c r="AE23" s="1"/>
  <c r="AE33" s="1"/>
  <c r="AG20"/>
  <c r="H18"/>
  <c r="K18"/>
  <c r="P33"/>
  <c r="P12"/>
  <c r="P17"/>
  <c r="C46" i="3"/>
  <c r="H15"/>
  <c r="H18"/>
  <c r="AC13" i="2"/>
  <c r="AC23" s="1"/>
  <c r="AC33" s="1"/>
  <c r="V13"/>
  <c r="V23" s="1"/>
  <c r="V33" s="1"/>
  <c r="AD13"/>
  <c r="AD23" s="1"/>
  <c r="AD33" s="1"/>
  <c r="Y13"/>
  <c r="Y23" s="1"/>
  <c r="Y33" s="1"/>
  <c r="AB13"/>
  <c r="AB23" s="1"/>
  <c r="AB33" s="1"/>
  <c r="L32" i="1" l="1"/>
  <c r="J32"/>
  <c r="H32"/>
  <c r="F32"/>
  <c r="D32"/>
  <c r="K32"/>
  <c r="I32"/>
  <c r="G32"/>
  <c r="E32"/>
  <c r="C16"/>
  <c r="C18"/>
  <c r="C23"/>
  <c r="C25"/>
  <c r="C31"/>
  <c r="C33"/>
  <c r="Z13" i="2"/>
  <c r="Z23" s="1"/>
  <c r="Z33" s="1"/>
  <c r="W13"/>
  <c r="W23" s="1"/>
  <c r="W33" s="1"/>
  <c r="X13"/>
  <c r="X23" s="1"/>
  <c r="X33" s="1"/>
  <c r="AF13"/>
  <c r="AF23" s="1"/>
  <c r="AF33" s="1"/>
  <c r="U13"/>
  <c r="C17" i="1"/>
  <c r="C20"/>
  <c r="C24"/>
  <c r="C26"/>
  <c r="D18" l="1"/>
  <c r="F18"/>
  <c r="H18"/>
  <c r="J18"/>
  <c r="L18"/>
  <c r="E18"/>
  <c r="G18"/>
  <c r="I18"/>
  <c r="K18"/>
  <c r="L24"/>
  <c r="J24"/>
  <c r="H24"/>
  <c r="F24"/>
  <c r="D24"/>
  <c r="K24"/>
  <c r="I24"/>
  <c r="G24"/>
  <c r="E24"/>
  <c r="E17"/>
  <c r="G17"/>
  <c r="I17"/>
  <c r="K17"/>
  <c r="D17"/>
  <c r="F17"/>
  <c r="H17"/>
  <c r="J17"/>
  <c r="L17"/>
  <c r="K33"/>
  <c r="I33"/>
  <c r="G33"/>
  <c r="E33"/>
  <c r="L33"/>
  <c r="J33"/>
  <c r="H33"/>
  <c r="F33"/>
  <c r="D33"/>
  <c r="K25"/>
  <c r="I25"/>
  <c r="G25"/>
  <c r="E25"/>
  <c r="L25"/>
  <c r="J25"/>
  <c r="H25"/>
  <c r="F25"/>
  <c r="D25"/>
  <c r="L26"/>
  <c r="J26"/>
  <c r="H26"/>
  <c r="F26"/>
  <c r="D26"/>
  <c r="K26"/>
  <c r="I26"/>
  <c r="G26"/>
  <c r="E26"/>
  <c r="D20"/>
  <c r="F20"/>
  <c r="H20"/>
  <c r="J20"/>
  <c r="L20"/>
  <c r="E20"/>
  <c r="G20"/>
  <c r="I20"/>
  <c r="K20"/>
  <c r="U23" i="2"/>
  <c r="U33" s="1"/>
  <c r="AG13"/>
  <c r="AG23" s="1"/>
  <c r="K31" i="1"/>
  <c r="I31"/>
  <c r="G31"/>
  <c r="E31"/>
  <c r="L31"/>
  <c r="J31"/>
  <c r="H31"/>
  <c r="F31"/>
  <c r="D31"/>
  <c r="K23"/>
  <c r="I23"/>
  <c r="G23"/>
  <c r="E23"/>
  <c r="L23"/>
  <c r="J23"/>
  <c r="H23"/>
  <c r="F23"/>
  <c r="D23"/>
  <c r="L16"/>
  <c r="J16"/>
  <c r="H16"/>
  <c r="F16"/>
  <c r="D16"/>
  <c r="K16"/>
  <c r="I16"/>
  <c r="G16"/>
  <c r="E16"/>
  <c r="V34" i="2" l="1"/>
  <c r="W34" s="1"/>
  <c r="X34" s="1"/>
  <c r="Y34" s="1"/>
  <c r="Z34" s="1"/>
  <c r="AA34" s="1"/>
  <c r="AB34" s="1"/>
  <c r="AC34" s="1"/>
  <c r="AD34" s="1"/>
  <c r="AE34" s="1"/>
  <c r="AF34" s="1"/>
  <c r="AG33"/>
</calcChain>
</file>

<file path=xl/sharedStrings.xml><?xml version="1.0" encoding="utf-8"?>
<sst xmlns="http://schemas.openxmlformats.org/spreadsheetml/2006/main" count="250" uniqueCount="138">
  <si>
    <t>Corning Natural Gas Corporation</t>
  </si>
  <si>
    <t>Corning Division</t>
  </si>
  <si>
    <t>Rate Per MCF</t>
  </si>
  <si>
    <t xml:space="preserve">             Contract #1-Transportation</t>
  </si>
  <si>
    <t xml:space="preserve">             Contract #2-Transportation</t>
  </si>
  <si>
    <t xml:space="preserve">             Contract #3-Transportation</t>
  </si>
  <si>
    <t xml:space="preserve">             Contract #4-Transportation</t>
  </si>
  <si>
    <t>Hammondsport Division</t>
  </si>
  <si>
    <t>Statement Type: TSA</t>
  </si>
  <si>
    <t>Temporary State Energy and Utility Service Conservation Assessment</t>
  </si>
  <si>
    <t xml:space="preserve">     SC1/ SC14 Residential</t>
  </si>
  <si>
    <t xml:space="preserve">     SC1/ SC14 Commercial</t>
  </si>
  <si>
    <t xml:space="preserve">     SC1/ SC14 Public Authorities</t>
  </si>
  <si>
    <t xml:space="preserve">     SC5 Gas Lights</t>
  </si>
  <si>
    <t xml:space="preserve">     SC6/ SC7 Transportation Gas</t>
  </si>
  <si>
    <t>SC 7 - LARGE INDUSTRIAL</t>
  </si>
  <si>
    <t xml:space="preserve">     SC1/ SC7 Residential</t>
  </si>
  <si>
    <t xml:space="preserve">     SC1/ SC7 Commercial</t>
  </si>
  <si>
    <t xml:space="preserve">     SC4 Transportation Gas</t>
  </si>
  <si>
    <t>Standard Offer based on Sales</t>
  </si>
  <si>
    <t xml:space="preserve">           Issue By:      Firouzeh Sarhangi, CFO</t>
  </si>
  <si>
    <t>PSC No. 7 - Gas</t>
  </si>
  <si>
    <t>Corning Natural Gas , Inc</t>
  </si>
  <si>
    <t>Appendix A</t>
  </si>
  <si>
    <t xml:space="preserve">18a Surcharge based on </t>
  </si>
  <si>
    <t>Schedule 3</t>
  </si>
  <si>
    <t>Corning Recovery Proposal- MCF</t>
  </si>
  <si>
    <t>Page 1 of 3</t>
  </si>
  <si>
    <t>Customers</t>
  </si>
  <si>
    <t>Total</t>
  </si>
  <si>
    <t xml:space="preserve">Customer </t>
  </si>
  <si>
    <t>Amount</t>
  </si>
  <si>
    <t>MCF Sales</t>
  </si>
  <si>
    <t>Class</t>
  </si>
  <si>
    <t xml:space="preserve">to be </t>
  </si>
  <si>
    <t>Calendar</t>
  </si>
  <si>
    <t>OLD Rate</t>
  </si>
  <si>
    <t>New Rate</t>
  </si>
  <si>
    <t>Projected Collection</t>
  </si>
  <si>
    <t>SC 1 &amp; 5 - RETAIL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</si>
  <si>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</si>
  <si>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</si>
  <si>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</si>
  <si>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</si>
  <si>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</si>
  <si>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</si>
  <si>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</si>
  <si>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</si>
  <si>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</si>
  <si>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</si>
  <si>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</si>
  <si>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</si>
  <si>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</t>
  </si>
  <si>
    <t>Recovered</t>
  </si>
  <si>
    <t>Per MCF</t>
  </si>
  <si>
    <t>Charge</t>
  </si>
  <si>
    <t xml:space="preserve">     Residential</t>
  </si>
  <si>
    <t xml:space="preserve">     Commercial</t>
  </si>
  <si>
    <t xml:space="preserve">     Small Industrial</t>
  </si>
  <si>
    <t xml:space="preserve">     Public Authorities</t>
  </si>
  <si>
    <t xml:space="preserve">     Gas Lights</t>
  </si>
  <si>
    <t xml:space="preserve">     Total Firm Sales</t>
  </si>
  <si>
    <t xml:space="preserve">     Transportation Gas</t>
  </si>
  <si>
    <t xml:space="preserve">          Total SC 1 &amp; 5</t>
  </si>
  <si>
    <t xml:space="preserve">     Total Firm</t>
  </si>
  <si>
    <t>Total Corning System Deliveries</t>
  </si>
  <si>
    <t>No. of Month Recovery</t>
  </si>
  <si>
    <t>AL Blades Deliveries-Trans</t>
  </si>
  <si>
    <t>Hammondsport Residential Customers</t>
  </si>
  <si>
    <t>Rate</t>
  </si>
  <si>
    <t xml:space="preserve"> </t>
  </si>
  <si>
    <t>Hammondsport Firm - Residential</t>
  </si>
  <si>
    <t>Hammondsport Firm - Commercial</t>
  </si>
  <si>
    <t xml:space="preserve">     Transportation Deliveries</t>
  </si>
  <si>
    <t>Total Hammondsport System Deliveries</t>
  </si>
  <si>
    <t>Effective July 1, 2014</t>
  </si>
  <si>
    <t>Statement No. 2</t>
  </si>
  <si>
    <t>Rates for July 2014 to April 2015</t>
  </si>
  <si>
    <t>Aug '14</t>
  </si>
  <si>
    <t>Sept '14</t>
  </si>
  <si>
    <t>Oct '14</t>
  </si>
  <si>
    <t>Nov '14</t>
  </si>
  <si>
    <t>Dec '14</t>
  </si>
  <si>
    <t>Jan '15</t>
  </si>
  <si>
    <t>Feb '15</t>
  </si>
  <si>
    <t>Mar '15</t>
  </si>
  <si>
    <t>Apr '15</t>
  </si>
  <si>
    <t>Jul '14</t>
  </si>
  <si>
    <t>Per Case# 09-M-0311 Issued June 18, 2014</t>
  </si>
  <si>
    <t xml:space="preserve">           Issue Date:   June 27, 2014</t>
  </si>
  <si>
    <t xml:space="preserve">                                   Corning, N.Y. 14830</t>
  </si>
  <si>
    <t>Revenues</t>
  </si>
  <si>
    <t xml:space="preserve">Twelve Months </t>
  </si>
  <si>
    <t xml:space="preserve">Ended </t>
  </si>
  <si>
    <t>Corning Revenues from Bundled and Delivery Service</t>
  </si>
  <si>
    <t xml:space="preserve"> Bundled Service</t>
  </si>
  <si>
    <t xml:space="preserve">Residential </t>
  </si>
  <si>
    <t>Commercial</t>
  </si>
  <si>
    <t>PSC Assessment in Base Rates</t>
  </si>
  <si>
    <t>Gas Lights</t>
  </si>
  <si>
    <t>Corning</t>
  </si>
  <si>
    <t>Transportation Delivery</t>
  </si>
  <si>
    <t xml:space="preserve">Hammodsport </t>
  </si>
  <si>
    <t>Aggregation</t>
  </si>
  <si>
    <t>Bath</t>
  </si>
  <si>
    <t>Transportation</t>
  </si>
  <si>
    <t>Dual Fuel Transportation</t>
  </si>
  <si>
    <t>Total Incremental Assessment</t>
  </si>
  <si>
    <t>Contract 1</t>
  </si>
  <si>
    <t>Contract 2</t>
  </si>
  <si>
    <t>March Installment</t>
  </si>
  <si>
    <t>Contract 4</t>
  </si>
  <si>
    <t>Sept Installment</t>
  </si>
  <si>
    <t>Contract 5</t>
  </si>
  <si>
    <t>Contract 6</t>
  </si>
  <si>
    <t>Contract 7</t>
  </si>
  <si>
    <t>Contract 8</t>
  </si>
  <si>
    <t>Total Revenues from Bundled and Delivery Service</t>
  </si>
  <si>
    <t>First  $500K of Revenue Not Taxed (Allocated To Corning and Hammondsport)</t>
  </si>
  <si>
    <t xml:space="preserve">Tax Rate </t>
  </si>
  <si>
    <t>Tax Liability</t>
  </si>
  <si>
    <t>Transportation Commodity Assessment Calculation</t>
  </si>
  <si>
    <t>Total Transportation Sales</t>
  </si>
  <si>
    <t>Average system Gas Costs</t>
  </si>
  <si>
    <t>MCF</t>
  </si>
  <si>
    <t>Purchased</t>
  </si>
  <si>
    <t>Average</t>
  </si>
  <si>
    <t>Projected</t>
  </si>
  <si>
    <t>Gas</t>
  </si>
  <si>
    <t xml:space="preserve">Demand </t>
  </si>
  <si>
    <t>GAC Rate</t>
  </si>
  <si>
    <t>Volumes</t>
  </si>
  <si>
    <t>Costs</t>
  </si>
  <si>
    <t>January '13</t>
  </si>
  <si>
    <t>December '13</t>
  </si>
  <si>
    <t>Contract 1 Through 8</t>
  </si>
  <si>
    <t>SC 11 - CONTRACT CUSTOMERS</t>
  </si>
  <si>
    <t>"Issued and Compliance with Commission Order in Case# 09-M-0311 Effective June 18, 2014."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</si>
</sst>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.0000_);_(* \(#,##0.0000\);_(* &quot;-&quot;????_);_(@_)"/>
    <numFmt numFmtId="166" formatCode="_(* #,##0_);_(* \(#,##0\);_(* &quot;-&quot;??_);_(@_)"/>
    <numFmt numFmtId="167" formatCode="_(* #,##0.0000_);_(* \(#,##0.0000\);_(* &quot;-&quot;??_);_(@_)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Calibri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u val="singleAccounting"/>
      <sz val="11"/>
      <color indexed="8"/>
      <name val="Calibri"/>
      <family val="2"/>
    </font>
    <font>
      <u val="singleAccounting"/>
      <sz val="10"/>
      <name val="Arial"/>
      <family val="2"/>
    </font>
    <font>
      <u/>
      <sz val="11"/>
      <color indexed="8"/>
      <name val="Calibri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14" fontId="0" fillId="0" borderId="0" xfId="0" applyNumberFormat="1"/>
    <xf numFmtId="164" fontId="2" fillId="0" borderId="0" xfId="3" applyNumberFormat="1" applyFont="1"/>
    <xf numFmtId="165" fontId="2" fillId="0" borderId="0" xfId="3" applyNumberFormat="1" applyFont="1"/>
    <xf numFmtId="165" fontId="0" fillId="0" borderId="0" xfId="0" applyNumberFormat="1"/>
    <xf numFmtId="0" fontId="6" fillId="0" borderId="0" xfId="0" applyFont="1"/>
    <xf numFmtId="44" fontId="0" fillId="0" borderId="0" xfId="0" applyNumberFormat="1"/>
    <xf numFmtId="166" fontId="1" fillId="0" borderId="0" xfId="1" applyNumberFormat="1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6" fontId="8" fillId="0" borderId="0" xfId="1" applyNumberFormat="1" applyFont="1"/>
    <xf numFmtId="166" fontId="0" fillId="0" borderId="0" xfId="0" applyNumberFormat="1"/>
    <xf numFmtId="10" fontId="1" fillId="0" borderId="0" xfId="7" applyNumberFormat="1" applyFont="1"/>
    <xf numFmtId="164" fontId="0" fillId="2" borderId="0" xfId="0" applyNumberFormat="1" applyFill="1"/>
    <xf numFmtId="2" fontId="0" fillId="2" borderId="0" xfId="0" applyNumberFormat="1" applyFill="1"/>
    <xf numFmtId="43" fontId="0" fillId="0" borderId="0" xfId="0" applyNumberFormat="1"/>
    <xf numFmtId="167" fontId="1" fillId="0" borderId="0" xfId="1" applyNumberFormat="1" applyFont="1"/>
    <xf numFmtId="0" fontId="0" fillId="2" borderId="0" xfId="0" applyFill="1"/>
    <xf numFmtId="43" fontId="1" fillId="0" borderId="0" xfId="1" applyFont="1"/>
    <xf numFmtId="166" fontId="9" fillId="0" borderId="0" xfId="1" applyNumberFormat="1" applyFont="1"/>
    <xf numFmtId="166" fontId="10" fillId="0" borderId="0" xfId="1" applyNumberFormat="1" applyFont="1"/>
    <xf numFmtId="166" fontId="1" fillId="0" borderId="0" xfId="6" applyNumberFormat="1"/>
    <xf numFmtId="166" fontId="1" fillId="0" borderId="0" xfId="7" applyNumberFormat="1" applyFont="1"/>
    <xf numFmtId="166" fontId="1" fillId="2" borderId="0" xfId="1" applyNumberFormat="1" applyFont="1" applyFill="1"/>
    <xf numFmtId="9" fontId="1" fillId="0" borderId="0" xfId="7" applyFont="1"/>
    <xf numFmtId="9" fontId="11" fillId="0" borderId="0" xfId="7" applyFont="1"/>
    <xf numFmtId="37" fontId="12" fillId="0" borderId="0" xfId="0" applyNumberFormat="1" applyFont="1"/>
    <xf numFmtId="9" fontId="0" fillId="0" borderId="0" xfId="0" applyNumberFormat="1"/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15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5" applyFill="1"/>
    <xf numFmtId="43" fontId="13" fillId="0" borderId="0" xfId="2" applyFont="1" applyFill="1"/>
    <xf numFmtId="166" fontId="0" fillId="0" borderId="0" xfId="0" applyNumberFormat="1" applyFill="1"/>
    <xf numFmtId="166" fontId="13" fillId="0" borderId="0" xfId="2" applyNumberFormat="1" applyFont="1"/>
    <xf numFmtId="0" fontId="13" fillId="0" borderId="0" xfId="5" applyFont="1" applyFill="1"/>
    <xf numFmtId="44" fontId="13" fillId="0" borderId="0" xfId="4" applyFont="1"/>
    <xf numFmtId="43" fontId="16" fillId="0" borderId="0" xfId="2" applyFont="1" applyFill="1"/>
    <xf numFmtId="166" fontId="16" fillId="0" borderId="0" xfId="0" applyNumberFormat="1" applyFont="1" applyFill="1"/>
    <xf numFmtId="10" fontId="13" fillId="0" borderId="0" xfId="8" applyNumberFormat="1" applyFont="1"/>
    <xf numFmtId="43" fontId="13" fillId="0" borderId="0" xfId="2" applyFont="1"/>
    <xf numFmtId="43" fontId="16" fillId="0" borderId="0" xfId="2" applyFont="1"/>
    <xf numFmtId="43" fontId="13" fillId="0" borderId="0" xfId="2" applyNumberFormat="1" applyFont="1" applyFill="1"/>
    <xf numFmtId="166" fontId="16" fillId="0" borderId="0" xfId="2" applyNumberFormat="1" applyFont="1"/>
    <xf numFmtId="44" fontId="17" fillId="0" borderId="0" xfId="0" applyNumberFormat="1" applyFont="1"/>
    <xf numFmtId="0" fontId="0" fillId="3" borderId="0" xfId="0" applyFill="1"/>
    <xf numFmtId="44" fontId="0" fillId="3" borderId="0" xfId="0" applyNumberFormat="1" applyFill="1"/>
    <xf numFmtId="10" fontId="0" fillId="0" borderId="0" xfId="0" applyNumberFormat="1"/>
    <xf numFmtId="166" fontId="13" fillId="0" borderId="0" xfId="2" applyNumberFormat="1" applyFont="1" applyFill="1"/>
    <xf numFmtId="43" fontId="0" fillId="0" borderId="0" xfId="0" applyNumberFormat="1" applyFill="1"/>
    <xf numFmtId="43" fontId="16" fillId="0" borderId="0" xfId="0" applyNumberFormat="1" applyFont="1"/>
    <xf numFmtId="0" fontId="0" fillId="0" borderId="0" xfId="0" applyAlignment="1">
      <alignment horizontal="center"/>
    </xf>
    <xf numFmtId="10" fontId="18" fillId="0" borderId="0" xfId="8" applyNumberFormat="1" applyFont="1"/>
    <xf numFmtId="0" fontId="14" fillId="0" borderId="0" xfId="0" applyFont="1"/>
    <xf numFmtId="44" fontId="16" fillId="0" borderId="0" xfId="4" applyFont="1"/>
    <xf numFmtId="0" fontId="0" fillId="0" borderId="0" xfId="0" applyFill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37" fontId="0" fillId="0" borderId="0" xfId="0" applyNumberFormat="1" applyFill="1"/>
    <xf numFmtId="39" fontId="0" fillId="0" borderId="0" xfId="0" applyNumberFormat="1" applyFill="1"/>
    <xf numFmtId="0" fontId="15" fillId="0" borderId="0" xfId="0" applyFont="1" applyAlignment="1">
      <alignment horizontal="center"/>
    </xf>
    <xf numFmtId="37" fontId="18" fillId="0" borderId="0" xfId="0" applyNumberFormat="1" applyFont="1" applyFill="1"/>
    <xf numFmtId="39" fontId="18" fillId="0" borderId="0" xfId="0" applyNumberFormat="1" applyFont="1" applyFill="1"/>
    <xf numFmtId="43" fontId="13" fillId="0" borderId="0" xfId="2" applyNumberFormat="1" applyFo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0" fillId="0" borderId="0" xfId="0" applyNumberFormat="1" applyFill="1"/>
    <xf numFmtId="44" fontId="0" fillId="0" borderId="1" xfId="0" applyNumberFormat="1" applyBorder="1"/>
    <xf numFmtId="3" fontId="0" fillId="0" borderId="2" xfId="0" applyNumberFormat="1" applyBorder="1"/>
    <xf numFmtId="0" fontId="0" fillId="2" borderId="2" xfId="0" applyFill="1" applyBorder="1"/>
    <xf numFmtId="164" fontId="0" fillId="4" borderId="3" xfId="0" applyNumberForma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9">
    <cellStyle name="Comma 2" xfId="1"/>
    <cellStyle name="Comma 3" xfId="2"/>
    <cellStyle name="Currency" xfId="3" builtinId="4"/>
    <cellStyle name="Currency 2" xfId="4"/>
    <cellStyle name="Normal" xfId="0" builtinId="0"/>
    <cellStyle name="Normal 17" xfId="5"/>
    <cellStyle name="Normal_ED18a surcharge Tax  Calculation" xfId="6"/>
    <cellStyle name="Percent 2" xfId="7"/>
    <cellStyle name="Percent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3"/>
  <sheetViews>
    <sheetView zoomScaleNormal="100" workbookViewId="0">
      <selection activeCell="E35" sqref="E35"/>
    </sheetView>
  </sheetViews>
  <sheetFormatPr defaultRowHeight="15"/>
  <cols>
    <col min="1" max="1" width="29.85546875" bestFit="1" customWidth="1"/>
    <col min="2" max="2" width="8.140625" bestFit="1" customWidth="1"/>
    <col min="3" max="3" width="13.140625" customWidth="1"/>
    <col min="4" max="12" width="13.5703125" customWidth="1"/>
  </cols>
  <sheetData>
    <row r="1" spans="1:12">
      <c r="A1" t="s">
        <v>21</v>
      </c>
      <c r="K1" t="s">
        <v>8</v>
      </c>
    </row>
    <row r="2" spans="1:12">
      <c r="A2" t="s">
        <v>0</v>
      </c>
      <c r="K2" t="s">
        <v>76</v>
      </c>
    </row>
    <row r="3" spans="1:12">
      <c r="A3" t="s">
        <v>75</v>
      </c>
    </row>
    <row r="7" spans="1:12">
      <c r="A7" s="79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>
      <c r="A8" s="80" t="s">
        <v>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2">
      <c r="A9" s="79" t="s">
        <v>77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>
      <c r="A10" s="79" t="s">
        <v>19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ht="15" customHeight="1">
      <c r="A11" s="78" t="s">
        <v>88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3" spans="1:12">
      <c r="D13" s="1"/>
      <c r="E13" s="1"/>
    </row>
    <row r="14" spans="1:12">
      <c r="A14" s="2" t="s">
        <v>1</v>
      </c>
      <c r="D14" s="3"/>
      <c r="E14" s="3"/>
    </row>
    <row r="15" spans="1:12">
      <c r="A15" s="2"/>
      <c r="C15" s="3" t="s">
        <v>87</v>
      </c>
      <c r="D15" s="3" t="s">
        <v>78</v>
      </c>
      <c r="E15" s="3" t="s">
        <v>79</v>
      </c>
      <c r="F15" s="3" t="s">
        <v>80</v>
      </c>
      <c r="G15" s="3" t="s">
        <v>81</v>
      </c>
      <c r="H15" s="3" t="s">
        <v>82</v>
      </c>
      <c r="I15" s="3" t="s">
        <v>83</v>
      </c>
      <c r="J15" s="3" t="s">
        <v>84</v>
      </c>
      <c r="K15" s="3" t="s">
        <v>85</v>
      </c>
      <c r="L15" s="3" t="s">
        <v>86</v>
      </c>
    </row>
    <row r="16" spans="1:12" ht="45">
      <c r="A16" t="s">
        <v>10</v>
      </c>
      <c r="B16" s="4" t="s">
        <v>2</v>
      </c>
      <c r="C16" s="7">
        <f>SUM('TSA Rate '!S23)</f>
        <v>0.10021965566647126</v>
      </c>
      <c r="D16" s="7">
        <f>C16</f>
        <v>0.10021965566647126</v>
      </c>
      <c r="E16" s="7">
        <f>C16</f>
        <v>0.10021965566647126</v>
      </c>
      <c r="F16" s="7">
        <f>C16</f>
        <v>0.10021965566647126</v>
      </c>
      <c r="G16" s="7">
        <f>C16</f>
        <v>0.10021965566647126</v>
      </c>
      <c r="H16" s="7">
        <f>C16</f>
        <v>0.10021965566647126</v>
      </c>
      <c r="I16" s="7">
        <f>C16</f>
        <v>0.10021965566647126</v>
      </c>
      <c r="J16" s="7">
        <f>C16</f>
        <v>0.10021965566647126</v>
      </c>
      <c r="K16" s="7">
        <f>C16</f>
        <v>0.10021965566647126</v>
      </c>
      <c r="L16" s="7">
        <f>C16</f>
        <v>0.10021965566647126</v>
      </c>
    </row>
    <row r="17" spans="1:12" ht="45">
      <c r="A17" t="s">
        <v>11</v>
      </c>
      <c r="B17" s="4" t="s">
        <v>2</v>
      </c>
      <c r="C17" s="5">
        <f>SUM('TSA Rate '!S23)</f>
        <v>0.10021965566647126</v>
      </c>
      <c r="D17" s="7">
        <f>C17</f>
        <v>0.10021965566647126</v>
      </c>
      <c r="E17" s="7">
        <f>C17</f>
        <v>0.10021965566647126</v>
      </c>
      <c r="F17" s="7">
        <f>C17</f>
        <v>0.10021965566647126</v>
      </c>
      <c r="G17" s="7">
        <f>C17</f>
        <v>0.10021965566647126</v>
      </c>
      <c r="H17" s="7">
        <f>C17</f>
        <v>0.10021965566647126</v>
      </c>
      <c r="I17" s="7">
        <f>C17</f>
        <v>0.10021965566647126</v>
      </c>
      <c r="J17" s="7">
        <f>C17</f>
        <v>0.10021965566647126</v>
      </c>
      <c r="K17" s="7">
        <f>C17</f>
        <v>0.10021965566647126</v>
      </c>
      <c r="L17" s="7">
        <f>C17</f>
        <v>0.10021965566647126</v>
      </c>
    </row>
    <row r="18" spans="1:12" ht="45">
      <c r="A18" t="s">
        <v>12</v>
      </c>
      <c r="B18" s="4" t="s">
        <v>2</v>
      </c>
      <c r="C18" s="5">
        <f>SUM('TSA Rate '!S23)</f>
        <v>0.10021965566647126</v>
      </c>
      <c r="D18" s="7">
        <f>C18</f>
        <v>0.10021965566647126</v>
      </c>
      <c r="E18" s="7">
        <f>C18</f>
        <v>0.10021965566647126</v>
      </c>
      <c r="F18" s="7">
        <f>C18</f>
        <v>0.10021965566647126</v>
      </c>
      <c r="G18" s="7">
        <f>C18</f>
        <v>0.10021965566647126</v>
      </c>
      <c r="H18" s="7">
        <f>C18</f>
        <v>0.10021965566647126</v>
      </c>
      <c r="I18" s="7">
        <f>C18</f>
        <v>0.10021965566647126</v>
      </c>
      <c r="J18" s="7">
        <f>C18</f>
        <v>0.10021965566647126</v>
      </c>
      <c r="K18" s="7">
        <f>C18</f>
        <v>0.10021965566647126</v>
      </c>
      <c r="L18" s="7">
        <f>C18</f>
        <v>0.10021965566647126</v>
      </c>
    </row>
    <row r="19" spans="1:12" ht="45" hidden="1">
      <c r="A19" t="s">
        <v>13</v>
      </c>
      <c r="B19" s="4" t="s">
        <v>2</v>
      </c>
      <c r="C19" s="5">
        <v>0</v>
      </c>
      <c r="D19" s="7">
        <f>C19</f>
        <v>0</v>
      </c>
      <c r="E19" s="7">
        <f>C19</f>
        <v>0</v>
      </c>
      <c r="F19" s="7">
        <f>C19</f>
        <v>0</v>
      </c>
      <c r="G19" s="7">
        <f>C19</f>
        <v>0</v>
      </c>
      <c r="H19" s="7">
        <f>C19</f>
        <v>0</v>
      </c>
      <c r="I19" s="7">
        <f>C19</f>
        <v>0</v>
      </c>
      <c r="J19" s="7">
        <f>C19</f>
        <v>0</v>
      </c>
      <c r="K19" s="7">
        <f>C19</f>
        <v>0</v>
      </c>
      <c r="L19" s="7">
        <f>C19</f>
        <v>0</v>
      </c>
    </row>
    <row r="20" spans="1:12" ht="45">
      <c r="A20" t="s">
        <v>14</v>
      </c>
      <c r="B20" s="4" t="s">
        <v>2</v>
      </c>
      <c r="C20" s="5">
        <f>SUM('TSA Rate '!S23)</f>
        <v>0.10021965566647126</v>
      </c>
      <c r="D20" s="7">
        <f>C20</f>
        <v>0.10021965566647126</v>
      </c>
      <c r="E20" s="7">
        <f>C20</f>
        <v>0.10021965566647126</v>
      </c>
      <c r="F20" s="7">
        <f>C20</f>
        <v>0.10021965566647126</v>
      </c>
      <c r="G20" s="7">
        <f>C20</f>
        <v>0.10021965566647126</v>
      </c>
      <c r="H20" s="7">
        <f>C20</f>
        <v>0.10021965566647126</v>
      </c>
      <c r="I20" s="7">
        <f>C20</f>
        <v>0.10021965566647126</v>
      </c>
      <c r="J20" s="7">
        <f>C20</f>
        <v>0.10021965566647126</v>
      </c>
      <c r="K20" s="7">
        <f>C20</f>
        <v>0.10021965566647126</v>
      </c>
      <c r="L20" s="7">
        <f>C20</f>
        <v>0.10021965566647126</v>
      </c>
    </row>
    <row r="21" spans="1:12"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2" t="s">
        <v>15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45">
      <c r="A23" t="s">
        <v>3</v>
      </c>
      <c r="B23" s="4" t="s">
        <v>2</v>
      </c>
      <c r="C23" s="5">
        <f>SUM('TSA Rate '!S23)</f>
        <v>0.10021965566647126</v>
      </c>
      <c r="D23" s="7">
        <f>C23</f>
        <v>0.10021965566647126</v>
      </c>
      <c r="E23" s="7">
        <f>C23</f>
        <v>0.10021965566647126</v>
      </c>
      <c r="F23" s="7">
        <f>C23</f>
        <v>0.10021965566647126</v>
      </c>
      <c r="G23" s="7">
        <f>C23</f>
        <v>0.10021965566647126</v>
      </c>
      <c r="H23" s="7">
        <f>C23</f>
        <v>0.10021965566647126</v>
      </c>
      <c r="I23" s="7">
        <f>C23</f>
        <v>0.10021965566647126</v>
      </c>
      <c r="J23" s="7">
        <f>C23</f>
        <v>0.10021965566647126</v>
      </c>
      <c r="K23" s="7">
        <f>C23</f>
        <v>0.10021965566647126</v>
      </c>
      <c r="L23" s="7">
        <f>C23</f>
        <v>0.10021965566647126</v>
      </c>
    </row>
    <row r="24" spans="1:12" ht="45">
      <c r="A24" t="s">
        <v>4</v>
      </c>
      <c r="B24" s="4" t="s">
        <v>2</v>
      </c>
      <c r="C24" s="5">
        <f>SUM('TSA Rate '!S23)</f>
        <v>0.10021965566647126</v>
      </c>
      <c r="D24" s="7">
        <f>C24</f>
        <v>0.10021965566647126</v>
      </c>
      <c r="E24" s="7">
        <f>C24</f>
        <v>0.10021965566647126</v>
      </c>
      <c r="F24" s="7">
        <f>C24</f>
        <v>0.10021965566647126</v>
      </c>
      <c r="G24" s="7">
        <f>C24</f>
        <v>0.10021965566647126</v>
      </c>
      <c r="H24" s="7">
        <f>C24</f>
        <v>0.10021965566647126</v>
      </c>
      <c r="I24" s="7">
        <f>C24</f>
        <v>0.10021965566647126</v>
      </c>
      <c r="J24" s="7">
        <f>C24</f>
        <v>0.10021965566647126</v>
      </c>
      <c r="K24" s="7">
        <f>C24</f>
        <v>0.10021965566647126</v>
      </c>
      <c r="L24" s="7">
        <f>C24</f>
        <v>0.10021965566647126</v>
      </c>
    </row>
    <row r="25" spans="1:12" ht="45">
      <c r="A25" t="s">
        <v>5</v>
      </c>
      <c r="B25" s="4" t="s">
        <v>2</v>
      </c>
      <c r="C25" s="5">
        <f>SUM('TSA Rate '!S23)</f>
        <v>0.10021965566647126</v>
      </c>
      <c r="D25" s="7">
        <f>C25</f>
        <v>0.10021965566647126</v>
      </c>
      <c r="E25" s="7">
        <f>C25</f>
        <v>0.10021965566647126</v>
      </c>
      <c r="F25" s="7">
        <f>C25</f>
        <v>0.10021965566647126</v>
      </c>
      <c r="G25" s="7">
        <f>C25</f>
        <v>0.10021965566647126</v>
      </c>
      <c r="H25" s="7">
        <f>C25</f>
        <v>0.10021965566647126</v>
      </c>
      <c r="I25" s="7">
        <f>C25</f>
        <v>0.10021965566647126</v>
      </c>
      <c r="J25" s="7">
        <f>C25</f>
        <v>0.10021965566647126</v>
      </c>
      <c r="K25" s="7">
        <f>C25</f>
        <v>0.10021965566647126</v>
      </c>
      <c r="L25" s="7">
        <f>C25</f>
        <v>0.10021965566647126</v>
      </c>
    </row>
    <row r="26" spans="1:12" ht="45">
      <c r="A26" t="s">
        <v>6</v>
      </c>
      <c r="B26" s="4" t="s">
        <v>2</v>
      </c>
      <c r="C26" s="5">
        <f>SUM('TSA Rate '!S23)</f>
        <v>0.10021965566647126</v>
      </c>
      <c r="D26" s="7">
        <f>C26</f>
        <v>0.10021965566647126</v>
      </c>
      <c r="E26" s="7">
        <f>C26</f>
        <v>0.10021965566647126</v>
      </c>
      <c r="F26" s="7">
        <f>C26</f>
        <v>0.10021965566647126</v>
      </c>
      <c r="G26" s="7">
        <f>C26</f>
        <v>0.10021965566647126</v>
      </c>
      <c r="H26" s="7">
        <f>C26</f>
        <v>0.10021965566647126</v>
      </c>
      <c r="I26" s="7">
        <f>C26</f>
        <v>0.10021965566647126</v>
      </c>
      <c r="J26" s="7">
        <f>C26</f>
        <v>0.10021965566647126</v>
      </c>
      <c r="K26" s="7">
        <f>C26</f>
        <v>0.10021965566647126</v>
      </c>
      <c r="L26" s="7">
        <f>C26</f>
        <v>0.10021965566647126</v>
      </c>
    </row>
    <row r="30" spans="1:12">
      <c r="A30" s="2" t="s">
        <v>7</v>
      </c>
      <c r="C30" s="3" t="s">
        <v>87</v>
      </c>
      <c r="D30" s="3" t="s">
        <v>78</v>
      </c>
      <c r="E30" s="3" t="s">
        <v>79</v>
      </c>
      <c r="F30" s="3" t="s">
        <v>80</v>
      </c>
      <c r="G30" s="3" t="s">
        <v>81</v>
      </c>
      <c r="H30" s="3" t="s">
        <v>82</v>
      </c>
      <c r="I30" s="3" t="s">
        <v>83</v>
      </c>
      <c r="J30" s="3" t="s">
        <v>84</v>
      </c>
      <c r="K30" s="3" t="s">
        <v>85</v>
      </c>
      <c r="L30" s="3" t="s">
        <v>86</v>
      </c>
    </row>
    <row r="31" spans="1:12" ht="45">
      <c r="A31" t="s">
        <v>16</v>
      </c>
      <c r="B31" s="4" t="s">
        <v>2</v>
      </c>
      <c r="C31" s="8">
        <f>SUM('TSA Rate '!S23)</f>
        <v>0.10021965566647126</v>
      </c>
      <c r="D31" s="7">
        <f>C31</f>
        <v>0.10021965566647126</v>
      </c>
      <c r="E31" s="7">
        <f>C31</f>
        <v>0.10021965566647126</v>
      </c>
      <c r="F31" s="7">
        <f>C31</f>
        <v>0.10021965566647126</v>
      </c>
      <c r="G31" s="7">
        <f>C31</f>
        <v>0.10021965566647126</v>
      </c>
      <c r="H31" s="7">
        <f>C31</f>
        <v>0.10021965566647126</v>
      </c>
      <c r="I31" s="7">
        <f>C31</f>
        <v>0.10021965566647126</v>
      </c>
      <c r="J31" s="7">
        <f>C31</f>
        <v>0.10021965566647126</v>
      </c>
      <c r="K31" s="7">
        <f>C31</f>
        <v>0.10021965566647126</v>
      </c>
      <c r="L31" s="7">
        <f>C31</f>
        <v>0.10021965566647126</v>
      </c>
    </row>
    <row r="32" spans="1:12" ht="45">
      <c r="A32" t="s">
        <v>17</v>
      </c>
      <c r="B32" s="4" t="s">
        <v>2</v>
      </c>
      <c r="C32" s="9">
        <f>SUM('TSA Rate '!S23)</f>
        <v>0.10021965566647126</v>
      </c>
      <c r="D32" s="7">
        <f>C32</f>
        <v>0.10021965566647126</v>
      </c>
      <c r="E32" s="7">
        <f>C32</f>
        <v>0.10021965566647126</v>
      </c>
      <c r="F32" s="7">
        <f>C32</f>
        <v>0.10021965566647126</v>
      </c>
      <c r="G32" s="7">
        <f>C32</f>
        <v>0.10021965566647126</v>
      </c>
      <c r="H32" s="7">
        <f>C32</f>
        <v>0.10021965566647126</v>
      </c>
      <c r="I32" s="7">
        <f>C32</f>
        <v>0.10021965566647126</v>
      </c>
      <c r="J32" s="7">
        <f>C32</f>
        <v>0.10021965566647126</v>
      </c>
      <c r="K32" s="7">
        <f>C32</f>
        <v>0.10021965566647126</v>
      </c>
      <c r="L32" s="7">
        <f>C32</f>
        <v>0.10021965566647126</v>
      </c>
    </row>
    <row r="33" spans="1:12" ht="45">
      <c r="A33" t="s">
        <v>18</v>
      </c>
      <c r="B33" s="4" t="s">
        <v>2</v>
      </c>
      <c r="C33" s="9">
        <f>SUM('TSA Rate '!S23)</f>
        <v>0.10021965566647126</v>
      </c>
      <c r="D33" s="7">
        <f>C33</f>
        <v>0.10021965566647126</v>
      </c>
      <c r="E33" s="7">
        <f>C33</f>
        <v>0.10021965566647126</v>
      </c>
      <c r="F33" s="7">
        <f>C33</f>
        <v>0.10021965566647126</v>
      </c>
      <c r="G33" s="7">
        <f>C33</f>
        <v>0.10021965566647126</v>
      </c>
      <c r="H33" s="7">
        <f>C33</f>
        <v>0.10021965566647126</v>
      </c>
      <c r="I33" s="7">
        <f>C33</f>
        <v>0.10021965566647126</v>
      </c>
      <c r="J33" s="7">
        <f>C33</f>
        <v>0.10021965566647126</v>
      </c>
      <c r="K33" s="7">
        <f>C33</f>
        <v>0.10021965566647126</v>
      </c>
      <c r="L33" s="7">
        <f>C33</f>
        <v>0.10021965566647126</v>
      </c>
    </row>
    <row r="37" spans="1:12">
      <c r="A37" s="33" t="s">
        <v>137</v>
      </c>
    </row>
    <row r="40" spans="1:12">
      <c r="A40" t="s">
        <v>20</v>
      </c>
    </row>
    <row r="41" spans="1:12">
      <c r="A41" t="s">
        <v>90</v>
      </c>
    </row>
    <row r="42" spans="1:12">
      <c r="F42" s="6"/>
    </row>
    <row r="43" spans="1:12">
      <c r="A43" t="s">
        <v>89</v>
      </c>
    </row>
  </sheetData>
  <mergeCells count="5">
    <mergeCell ref="A11:L11"/>
    <mergeCell ref="A7:L7"/>
    <mergeCell ref="A8:L8"/>
    <mergeCell ref="A9:L9"/>
    <mergeCell ref="A10:L10"/>
  </mergeCells>
  <phoneticPr fontId="0" type="noConversion"/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48"/>
  <sheetViews>
    <sheetView tabSelected="1" zoomScaleNormal="100" workbookViewId="0">
      <selection activeCell="S23" sqref="S23"/>
    </sheetView>
  </sheetViews>
  <sheetFormatPr defaultRowHeight="15"/>
  <cols>
    <col min="1" max="1" width="44.28515625" customWidth="1"/>
    <col min="2" max="4" width="13.5703125" hidden="1" customWidth="1"/>
    <col min="5" max="6" width="11.5703125" hidden="1" customWidth="1"/>
    <col min="7" max="12" width="11.28515625" hidden="1" customWidth="1"/>
    <col min="13" max="13" width="11.5703125" hidden="1" customWidth="1"/>
    <col min="14" max="14" width="10.5703125" hidden="1" customWidth="1"/>
    <col min="15" max="15" width="18.140625" bestFit="1" customWidth="1"/>
    <col min="16" max="16" width="14.42578125" bestFit="1" customWidth="1"/>
    <col min="17" max="17" width="12.7109375" bestFit="1" customWidth="1"/>
    <col min="18" max="18" width="9.28515625" hidden="1" customWidth="1"/>
    <col min="19" max="19" width="13.42578125" bestFit="1" customWidth="1"/>
    <col min="20" max="20" width="14.7109375" hidden="1" customWidth="1"/>
    <col min="21" max="21" width="12.28515625" hidden="1" customWidth="1"/>
    <col min="22" max="22" width="13.28515625" hidden="1" customWidth="1"/>
    <col min="23" max="23" width="13" hidden="1" customWidth="1"/>
    <col min="24" max="24" width="13.85546875" hidden="1" customWidth="1"/>
    <col min="25" max="25" width="13.5703125" hidden="1" customWidth="1"/>
    <col min="26" max="26" width="13.28515625" hidden="1" customWidth="1"/>
    <col min="27" max="27" width="13.42578125" hidden="1" customWidth="1"/>
    <col min="28" max="28" width="13.85546875" hidden="1" customWidth="1"/>
    <col min="29" max="32" width="13.28515625" hidden="1" customWidth="1"/>
    <col min="33" max="33" width="14.28515625" hidden="1" customWidth="1"/>
    <col min="34" max="34" width="14" hidden="1" customWidth="1"/>
    <col min="35" max="35" width="14.5703125" hidden="1" customWidth="1"/>
    <col min="36" max="38" width="0" hidden="1" customWidth="1"/>
    <col min="39" max="39" width="10.42578125" hidden="1" customWidth="1"/>
    <col min="40" max="40" width="11.5703125" hidden="1" customWidth="1"/>
    <col min="41" max="41" width="10.85546875" hidden="1" customWidth="1"/>
    <col min="42" max="46" width="0" hidden="1" customWidth="1"/>
  </cols>
  <sheetData>
    <row r="1" spans="1:46" ht="18.75">
      <c r="A1" s="10" t="s">
        <v>22</v>
      </c>
      <c r="AG1" t="s">
        <v>23</v>
      </c>
    </row>
    <row r="2" spans="1:46" ht="18.75">
      <c r="A2" s="10" t="s">
        <v>24</v>
      </c>
      <c r="AG2" t="s">
        <v>25</v>
      </c>
    </row>
    <row r="3" spans="1:46" ht="18.75">
      <c r="A3" s="10" t="s">
        <v>26</v>
      </c>
      <c r="AG3" t="s">
        <v>27</v>
      </c>
    </row>
    <row r="5" spans="1:46">
      <c r="P5" s="11"/>
    </row>
    <row r="6" spans="1:46">
      <c r="T6" s="12"/>
    </row>
    <row r="7" spans="1:46">
      <c r="Q7" s="1" t="s">
        <v>29</v>
      </c>
    </row>
    <row r="8" spans="1:46">
      <c r="O8" s="1" t="s">
        <v>30</v>
      </c>
      <c r="P8" s="1" t="s">
        <v>31</v>
      </c>
      <c r="Q8" s="1" t="s">
        <v>32</v>
      </c>
    </row>
    <row r="9" spans="1:46" ht="15.75">
      <c r="B9" s="1">
        <v>2009</v>
      </c>
      <c r="C9" s="1">
        <v>2009</v>
      </c>
      <c r="D9" s="1">
        <v>2009</v>
      </c>
      <c r="E9" s="1">
        <v>2009</v>
      </c>
      <c r="F9" s="1">
        <v>2009</v>
      </c>
      <c r="G9" s="1">
        <v>2009</v>
      </c>
      <c r="H9" s="1">
        <v>2009</v>
      </c>
      <c r="I9" s="1">
        <v>2009</v>
      </c>
      <c r="J9" s="1">
        <v>2009</v>
      </c>
      <c r="K9" s="1">
        <v>2009</v>
      </c>
      <c r="L9" s="1">
        <v>2009</v>
      </c>
      <c r="M9" s="1">
        <v>2009</v>
      </c>
      <c r="O9" s="1" t="s">
        <v>33</v>
      </c>
      <c r="P9" s="1" t="s">
        <v>34</v>
      </c>
      <c r="Q9" s="1" t="s">
        <v>35</v>
      </c>
      <c r="R9" s="13" t="s">
        <v>36</v>
      </c>
      <c r="S9" s="71" t="s">
        <v>37</v>
      </c>
      <c r="T9" s="13" t="s">
        <v>30</v>
      </c>
      <c r="U9" s="81" t="s">
        <v>38</v>
      </c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46">
      <c r="A10" s="2" t="s">
        <v>39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47</v>
      </c>
      <c r="J10" s="3" t="s">
        <v>48</v>
      </c>
      <c r="K10" s="3" t="s">
        <v>49</v>
      </c>
      <c r="L10" s="3" t="s">
        <v>50</v>
      </c>
      <c r="M10" s="3" t="s">
        <v>51</v>
      </c>
      <c r="N10" s="3" t="s">
        <v>29</v>
      </c>
      <c r="O10" s="3" t="s">
        <v>52</v>
      </c>
      <c r="P10" s="3" t="s">
        <v>53</v>
      </c>
      <c r="Q10" s="3">
        <v>2013</v>
      </c>
      <c r="R10" s="14" t="s">
        <v>54</v>
      </c>
      <c r="S10" s="72" t="s">
        <v>54</v>
      </c>
      <c r="T10" s="14" t="s">
        <v>55</v>
      </c>
      <c r="U10" s="3" t="s">
        <v>42</v>
      </c>
      <c r="V10" s="3" t="s">
        <v>43</v>
      </c>
      <c r="W10" s="3" t="s">
        <v>44</v>
      </c>
      <c r="X10" s="3" t="s">
        <v>45</v>
      </c>
      <c r="Y10" s="3" t="s">
        <v>46</v>
      </c>
      <c r="Z10" s="3" t="s">
        <v>47</v>
      </c>
      <c r="AA10" s="3" t="s">
        <v>48</v>
      </c>
      <c r="AB10" s="3" t="s">
        <v>49</v>
      </c>
      <c r="AC10" s="3" t="s">
        <v>50</v>
      </c>
      <c r="AD10" s="3" t="s">
        <v>51</v>
      </c>
      <c r="AE10" s="3" t="s">
        <v>40</v>
      </c>
      <c r="AF10" s="3" t="s">
        <v>41</v>
      </c>
      <c r="AG10" s="3" t="s">
        <v>29</v>
      </c>
      <c r="AI10" s="3" t="s">
        <v>42</v>
      </c>
      <c r="AJ10" s="3" t="s">
        <v>43</v>
      </c>
      <c r="AK10" s="3" t="s">
        <v>44</v>
      </c>
      <c r="AL10" s="3" t="s">
        <v>45</v>
      </c>
      <c r="AM10" s="3" t="s">
        <v>46</v>
      </c>
      <c r="AN10" s="3" t="s">
        <v>47</v>
      </c>
      <c r="AO10" s="3" t="s">
        <v>48</v>
      </c>
      <c r="AP10" s="3" t="s">
        <v>49</v>
      </c>
      <c r="AQ10" s="3" t="s">
        <v>50</v>
      </c>
      <c r="AR10" s="3" t="s">
        <v>51</v>
      </c>
      <c r="AS10" s="3" t="s">
        <v>40</v>
      </c>
      <c r="AT10" s="3" t="s">
        <v>41</v>
      </c>
    </row>
    <row r="11" spans="1:46">
      <c r="A11" t="s">
        <v>56</v>
      </c>
      <c r="B11" s="12">
        <v>195578</v>
      </c>
      <c r="C11" s="12">
        <v>188128</v>
      </c>
      <c r="D11" s="12">
        <v>133165</v>
      </c>
      <c r="E11" s="12">
        <v>105796</v>
      </c>
      <c r="F11" s="12">
        <v>52621</v>
      </c>
      <c r="G11" s="12">
        <v>25140</v>
      </c>
      <c r="H11" s="15">
        <v>19242</v>
      </c>
      <c r="I11" s="15">
        <v>20830</v>
      </c>
      <c r="J11" s="15">
        <v>18974</v>
      </c>
      <c r="K11" s="15">
        <v>48111</v>
      </c>
      <c r="L11" s="15">
        <v>72497</v>
      </c>
      <c r="M11" s="12">
        <v>118541</v>
      </c>
      <c r="N11" s="16">
        <f>SUM(B11:M11)</f>
        <v>998623</v>
      </c>
      <c r="O11" s="17">
        <v>0.25644414867107296</v>
      </c>
      <c r="P11" s="16">
        <f>$P$23*$O11</f>
        <v>127934.94849617392</v>
      </c>
      <c r="Q11" s="16">
        <f>'2014-2015 TaxYear Based on 2013'!C7</f>
        <v>1119813.6000000001</v>
      </c>
      <c r="R11" s="18">
        <v>0.3569</v>
      </c>
      <c r="S11" s="73"/>
      <c r="T11" s="19"/>
      <c r="U11" s="20">
        <f t="shared" ref="U11:AD15" si="0">$R11*D11</f>
        <v>47526.588499999998</v>
      </c>
      <c r="V11" s="20">
        <f t="shared" si="0"/>
        <v>37758.592400000001</v>
      </c>
      <c r="W11" s="20">
        <f t="shared" si="0"/>
        <v>18780.4349</v>
      </c>
      <c r="X11" s="20">
        <f t="shared" si="0"/>
        <v>8972.4660000000003</v>
      </c>
      <c r="Y11" s="20">
        <f t="shared" si="0"/>
        <v>6867.4697999999999</v>
      </c>
      <c r="Z11" s="20">
        <f t="shared" si="0"/>
        <v>7434.2269999999999</v>
      </c>
      <c r="AA11" s="20">
        <f t="shared" si="0"/>
        <v>6771.8206</v>
      </c>
      <c r="AB11" s="20">
        <f t="shared" si="0"/>
        <v>17170.815900000001</v>
      </c>
      <c r="AC11" s="20">
        <f t="shared" si="0"/>
        <v>25874.1793</v>
      </c>
      <c r="AD11" s="20">
        <f t="shared" si="0"/>
        <v>42307.282899999998</v>
      </c>
      <c r="AE11" s="20">
        <f t="shared" ref="AE11:AF15" si="1">$R11*B11</f>
        <v>69801.788199999995</v>
      </c>
      <c r="AF11" s="20">
        <f t="shared" si="1"/>
        <v>67142.883199999997</v>
      </c>
      <c r="AG11" s="20">
        <f>SUM(U11:AF11)</f>
        <v>356408.54869999993</v>
      </c>
      <c r="AH11" s="20" t="s">
        <v>2</v>
      </c>
      <c r="AI11" s="21">
        <f>$R11</f>
        <v>0.3569</v>
      </c>
      <c r="AJ11" s="21">
        <f t="shared" ref="AJ11:AT12" si="2">$R11</f>
        <v>0.3569</v>
      </c>
      <c r="AK11" s="21">
        <f t="shared" si="2"/>
        <v>0.3569</v>
      </c>
      <c r="AL11" s="21">
        <f t="shared" si="2"/>
        <v>0.3569</v>
      </c>
      <c r="AM11" s="21">
        <f t="shared" si="2"/>
        <v>0.3569</v>
      </c>
      <c r="AN11" s="21">
        <f t="shared" si="2"/>
        <v>0.3569</v>
      </c>
      <c r="AO11" s="21">
        <f t="shared" si="2"/>
        <v>0.3569</v>
      </c>
      <c r="AP11" s="21">
        <f>$R11</f>
        <v>0.3569</v>
      </c>
      <c r="AQ11" s="21">
        <f t="shared" si="2"/>
        <v>0.3569</v>
      </c>
      <c r="AR11" s="21">
        <f t="shared" si="2"/>
        <v>0.3569</v>
      </c>
      <c r="AS11" s="21">
        <f t="shared" si="2"/>
        <v>0.3569</v>
      </c>
      <c r="AT11" s="21">
        <f t="shared" si="2"/>
        <v>0.3569</v>
      </c>
    </row>
    <row r="12" spans="1:46">
      <c r="A12" t="s">
        <v>57</v>
      </c>
      <c r="B12" s="12">
        <v>34818</v>
      </c>
      <c r="C12" s="12">
        <v>35473</v>
      </c>
      <c r="D12" s="12">
        <v>26766</v>
      </c>
      <c r="E12" s="12">
        <v>18344</v>
      </c>
      <c r="F12" s="12">
        <v>8752</v>
      </c>
      <c r="G12" s="12">
        <v>5183</v>
      </c>
      <c r="H12" s="15">
        <v>4569</v>
      </c>
      <c r="I12" s="15">
        <v>5348</v>
      </c>
      <c r="J12" s="15">
        <v>4946</v>
      </c>
      <c r="K12" s="15">
        <v>7234</v>
      </c>
      <c r="L12" s="15">
        <v>11658</v>
      </c>
      <c r="M12" s="12">
        <v>18601</v>
      </c>
      <c r="N12" s="16">
        <f t="shared" ref="N12:N17" si="3">SUM(B12:M12)</f>
        <v>181692</v>
      </c>
      <c r="O12" s="17">
        <v>4.3071123474743185E-2</v>
      </c>
      <c r="P12" s="16">
        <f>$P$23*$O12</f>
        <v>21487.337464975204</v>
      </c>
      <c r="Q12" s="16">
        <f>'2014-2015 TaxYear Based on 2013'!C8</f>
        <v>214004.1</v>
      </c>
      <c r="R12" s="18">
        <v>0.32490000000000002</v>
      </c>
      <c r="S12" s="73"/>
      <c r="T12" s="22"/>
      <c r="U12" s="20">
        <f t="shared" si="0"/>
        <v>8696.2734</v>
      </c>
      <c r="V12" s="20">
        <f t="shared" si="0"/>
        <v>5959.9656000000004</v>
      </c>
      <c r="W12" s="20">
        <f t="shared" si="0"/>
        <v>2843.5248000000001</v>
      </c>
      <c r="X12" s="20">
        <f t="shared" si="0"/>
        <v>1683.9567000000002</v>
      </c>
      <c r="Y12" s="20">
        <f t="shared" si="0"/>
        <v>1484.4681</v>
      </c>
      <c r="Z12" s="20">
        <f t="shared" si="0"/>
        <v>1737.5652000000002</v>
      </c>
      <c r="AA12" s="20">
        <f t="shared" si="0"/>
        <v>1606.9554000000001</v>
      </c>
      <c r="AB12" s="20">
        <f t="shared" si="0"/>
        <v>2350.3266000000003</v>
      </c>
      <c r="AC12" s="20">
        <f t="shared" si="0"/>
        <v>3787.6842000000001</v>
      </c>
      <c r="AD12" s="20">
        <f t="shared" si="0"/>
        <v>6043.4649000000009</v>
      </c>
      <c r="AE12" s="20">
        <f t="shared" si="1"/>
        <v>11312.368200000001</v>
      </c>
      <c r="AF12" s="20">
        <f t="shared" si="1"/>
        <v>11525.1777</v>
      </c>
      <c r="AG12" s="20">
        <f>SUM(U12:AF12)</f>
        <v>59031.730800000005</v>
      </c>
      <c r="AH12" s="20" t="s">
        <v>2</v>
      </c>
      <c r="AI12" s="21">
        <f>$R12</f>
        <v>0.32490000000000002</v>
      </c>
      <c r="AJ12" s="21">
        <f t="shared" si="2"/>
        <v>0.32490000000000002</v>
      </c>
      <c r="AK12" s="21">
        <f t="shared" si="2"/>
        <v>0.32490000000000002</v>
      </c>
      <c r="AL12" s="21">
        <f t="shared" si="2"/>
        <v>0.32490000000000002</v>
      </c>
      <c r="AM12" s="21">
        <f t="shared" si="2"/>
        <v>0.32490000000000002</v>
      </c>
      <c r="AN12" s="21">
        <f t="shared" si="2"/>
        <v>0.32490000000000002</v>
      </c>
      <c r="AO12" s="21">
        <f t="shared" si="2"/>
        <v>0.32490000000000002</v>
      </c>
      <c r="AP12" s="21">
        <f>$R12</f>
        <v>0.32490000000000002</v>
      </c>
      <c r="AQ12" s="21">
        <f t="shared" si="2"/>
        <v>0.32490000000000002</v>
      </c>
      <c r="AR12" s="21">
        <f t="shared" si="2"/>
        <v>0.32490000000000002</v>
      </c>
      <c r="AS12" s="21">
        <f t="shared" si="2"/>
        <v>0.32490000000000002</v>
      </c>
      <c r="AT12" s="21">
        <f t="shared" si="2"/>
        <v>0.32490000000000002</v>
      </c>
    </row>
    <row r="13" spans="1:46">
      <c r="A13" t="s">
        <v>58</v>
      </c>
      <c r="B13" s="12">
        <v>2</v>
      </c>
      <c r="C13" s="12">
        <v>2</v>
      </c>
      <c r="D13" s="12">
        <v>2</v>
      </c>
      <c r="E13" s="12">
        <v>2</v>
      </c>
      <c r="F13" s="12">
        <v>2</v>
      </c>
      <c r="G13" s="12">
        <v>2</v>
      </c>
      <c r="H13" s="15">
        <v>2</v>
      </c>
      <c r="I13" s="15">
        <v>2</v>
      </c>
      <c r="J13" s="15">
        <v>2</v>
      </c>
      <c r="K13" s="15">
        <v>2</v>
      </c>
      <c r="L13" s="15">
        <v>2</v>
      </c>
      <c r="M13" s="12">
        <v>2</v>
      </c>
      <c r="N13" s="16">
        <f t="shared" si="3"/>
        <v>24</v>
      </c>
      <c r="O13" s="17">
        <v>0</v>
      </c>
      <c r="P13" s="16">
        <f>$P$23*$O13</f>
        <v>0</v>
      </c>
      <c r="Q13" s="16"/>
      <c r="R13" s="18" t="e">
        <f>P13/Q13</f>
        <v>#DIV/0!</v>
      </c>
      <c r="S13" s="73"/>
      <c r="T13" s="22"/>
      <c r="U13" s="20" t="e">
        <f t="shared" si="0"/>
        <v>#DIV/0!</v>
      </c>
      <c r="V13" s="20" t="e">
        <f t="shared" si="0"/>
        <v>#DIV/0!</v>
      </c>
      <c r="W13" s="20" t="e">
        <f t="shared" si="0"/>
        <v>#DIV/0!</v>
      </c>
      <c r="X13" s="20" t="e">
        <f t="shared" si="0"/>
        <v>#DIV/0!</v>
      </c>
      <c r="Y13" s="20" t="e">
        <f t="shared" si="0"/>
        <v>#DIV/0!</v>
      </c>
      <c r="Z13" s="20" t="e">
        <f t="shared" si="0"/>
        <v>#DIV/0!</v>
      </c>
      <c r="AA13" s="20" t="e">
        <f t="shared" si="0"/>
        <v>#DIV/0!</v>
      </c>
      <c r="AB13" s="20" t="e">
        <f t="shared" si="0"/>
        <v>#DIV/0!</v>
      </c>
      <c r="AC13" s="20" t="e">
        <f t="shared" si="0"/>
        <v>#DIV/0!</v>
      </c>
      <c r="AD13" s="20" t="e">
        <f t="shared" si="0"/>
        <v>#DIV/0!</v>
      </c>
      <c r="AE13" s="20" t="e">
        <f t="shared" si="1"/>
        <v>#DIV/0!</v>
      </c>
      <c r="AF13" s="20" t="e">
        <f t="shared" si="1"/>
        <v>#DIV/0!</v>
      </c>
      <c r="AG13" s="20" t="e">
        <f>SUM(U13:AF13)</f>
        <v>#DIV/0!</v>
      </c>
      <c r="AH13" s="20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46">
      <c r="A14" t="s">
        <v>59</v>
      </c>
      <c r="B14" s="12">
        <v>3573</v>
      </c>
      <c r="C14" s="12">
        <v>3624</v>
      </c>
      <c r="D14" s="12">
        <v>2436</v>
      </c>
      <c r="E14" s="12">
        <v>1885</v>
      </c>
      <c r="F14" s="12">
        <v>948</v>
      </c>
      <c r="G14" s="12">
        <v>272</v>
      </c>
      <c r="H14" s="15">
        <v>224</v>
      </c>
      <c r="I14" s="15">
        <v>333</v>
      </c>
      <c r="J14" s="15">
        <v>192</v>
      </c>
      <c r="K14" s="15">
        <v>487</v>
      </c>
      <c r="L14" s="15">
        <v>1141</v>
      </c>
      <c r="M14" s="12">
        <v>1816</v>
      </c>
      <c r="N14" s="16">
        <f t="shared" si="3"/>
        <v>16931</v>
      </c>
      <c r="O14" s="17">
        <v>4.3016295454536592E-3</v>
      </c>
      <c r="P14" s="16">
        <f>$P$23*$O14</f>
        <v>2145.9984842668837</v>
      </c>
      <c r="Q14" s="16">
        <v>0</v>
      </c>
      <c r="R14" s="18">
        <v>0.3211</v>
      </c>
      <c r="S14" s="73"/>
      <c r="T14" s="22"/>
      <c r="U14" s="20">
        <f t="shared" si="0"/>
        <v>782.19960000000003</v>
      </c>
      <c r="V14" s="20">
        <f t="shared" si="0"/>
        <v>605.27350000000001</v>
      </c>
      <c r="W14" s="20">
        <f t="shared" si="0"/>
        <v>304.40280000000001</v>
      </c>
      <c r="X14" s="20">
        <f t="shared" si="0"/>
        <v>87.339200000000005</v>
      </c>
      <c r="Y14" s="20">
        <f t="shared" si="0"/>
        <v>71.926400000000001</v>
      </c>
      <c r="Z14" s="20">
        <f t="shared" si="0"/>
        <v>106.9263</v>
      </c>
      <c r="AA14" s="20">
        <f t="shared" si="0"/>
        <v>61.651200000000003</v>
      </c>
      <c r="AB14" s="20">
        <f t="shared" si="0"/>
        <v>156.37569999999999</v>
      </c>
      <c r="AC14" s="20">
        <f t="shared" si="0"/>
        <v>366.37509999999997</v>
      </c>
      <c r="AD14" s="20">
        <f t="shared" si="0"/>
        <v>583.11760000000004</v>
      </c>
      <c r="AE14" s="20">
        <f t="shared" si="1"/>
        <v>1147.2902999999999</v>
      </c>
      <c r="AF14" s="20">
        <f t="shared" si="1"/>
        <v>1163.6664000000001</v>
      </c>
      <c r="AG14" s="20">
        <f>SUM(U14:AF14)</f>
        <v>5436.544100000001</v>
      </c>
      <c r="AH14" s="20" t="s">
        <v>2</v>
      </c>
      <c r="AI14" s="21">
        <f t="shared" ref="AI14:AT15" si="4">$R14</f>
        <v>0.3211</v>
      </c>
      <c r="AJ14" s="21">
        <f t="shared" si="4"/>
        <v>0.3211</v>
      </c>
      <c r="AK14" s="21">
        <f t="shared" si="4"/>
        <v>0.3211</v>
      </c>
      <c r="AL14" s="21">
        <f t="shared" si="4"/>
        <v>0.3211</v>
      </c>
      <c r="AM14" s="21">
        <f t="shared" si="4"/>
        <v>0.3211</v>
      </c>
      <c r="AN14" s="21">
        <f t="shared" si="4"/>
        <v>0.3211</v>
      </c>
      <c r="AO14" s="21">
        <f t="shared" si="4"/>
        <v>0.3211</v>
      </c>
      <c r="AP14" s="21">
        <f t="shared" si="4"/>
        <v>0.3211</v>
      </c>
      <c r="AQ14" s="21">
        <f t="shared" si="4"/>
        <v>0.3211</v>
      </c>
      <c r="AR14" s="21">
        <f t="shared" si="4"/>
        <v>0.3211</v>
      </c>
      <c r="AS14" s="21">
        <f t="shared" si="4"/>
        <v>0.3211</v>
      </c>
      <c r="AT14" s="21">
        <f t="shared" si="4"/>
        <v>0.3211</v>
      </c>
    </row>
    <row r="15" spans="1:46" ht="17.25">
      <c r="A15" t="s">
        <v>60</v>
      </c>
      <c r="B15" s="24">
        <v>11</v>
      </c>
      <c r="C15" s="24">
        <v>11</v>
      </c>
      <c r="D15" s="24">
        <v>11</v>
      </c>
      <c r="E15" s="24">
        <v>11</v>
      </c>
      <c r="F15" s="24">
        <v>11</v>
      </c>
      <c r="G15" s="24">
        <v>11</v>
      </c>
      <c r="H15" s="25">
        <v>11</v>
      </c>
      <c r="I15" s="25">
        <v>11</v>
      </c>
      <c r="J15" s="25">
        <v>11</v>
      </c>
      <c r="K15" s="25">
        <v>11</v>
      </c>
      <c r="L15" s="25">
        <v>11</v>
      </c>
      <c r="M15" s="24">
        <v>11</v>
      </c>
      <c r="N15" s="24">
        <f t="shared" si="3"/>
        <v>132</v>
      </c>
      <c r="O15" s="17">
        <v>2.5456611141271475E-5</v>
      </c>
      <c r="P15" s="16"/>
      <c r="Q15" s="16">
        <f>'2014-2015 TaxYear Based on 2013'!C9</f>
        <v>132</v>
      </c>
      <c r="R15" s="18">
        <v>0.28439999999999999</v>
      </c>
      <c r="S15" s="73"/>
      <c r="T15" s="22"/>
      <c r="U15" s="20">
        <f t="shared" si="0"/>
        <v>3.1284000000000001</v>
      </c>
      <c r="V15" s="20">
        <f t="shared" si="0"/>
        <v>3.1284000000000001</v>
      </c>
      <c r="W15" s="20">
        <f t="shared" si="0"/>
        <v>3.1284000000000001</v>
      </c>
      <c r="X15" s="20">
        <f t="shared" si="0"/>
        <v>3.1284000000000001</v>
      </c>
      <c r="Y15" s="20">
        <f t="shared" si="0"/>
        <v>3.1284000000000001</v>
      </c>
      <c r="Z15" s="20">
        <f t="shared" si="0"/>
        <v>3.1284000000000001</v>
      </c>
      <c r="AA15" s="20">
        <f t="shared" si="0"/>
        <v>3.1284000000000001</v>
      </c>
      <c r="AB15" s="20">
        <f t="shared" si="0"/>
        <v>3.1284000000000001</v>
      </c>
      <c r="AC15" s="20">
        <f t="shared" si="0"/>
        <v>3.1284000000000001</v>
      </c>
      <c r="AD15" s="20">
        <f t="shared" si="0"/>
        <v>3.1284000000000001</v>
      </c>
      <c r="AE15" s="20">
        <f t="shared" si="1"/>
        <v>3.1284000000000001</v>
      </c>
      <c r="AF15" s="20">
        <f t="shared" si="1"/>
        <v>3.1284000000000001</v>
      </c>
      <c r="AG15" s="20">
        <f>SUM(U15:AF15)</f>
        <v>37.540799999999997</v>
      </c>
      <c r="AH15" s="20" t="s">
        <v>2</v>
      </c>
      <c r="AI15" s="21">
        <f t="shared" si="4"/>
        <v>0.28439999999999999</v>
      </c>
      <c r="AJ15" s="21">
        <f t="shared" si="4"/>
        <v>0.28439999999999999</v>
      </c>
      <c r="AK15" s="21">
        <f t="shared" si="4"/>
        <v>0.28439999999999999</v>
      </c>
      <c r="AL15" s="21">
        <f t="shared" si="4"/>
        <v>0.28439999999999999</v>
      </c>
      <c r="AM15" s="21">
        <f t="shared" si="4"/>
        <v>0.28439999999999999</v>
      </c>
      <c r="AN15" s="21">
        <f t="shared" si="4"/>
        <v>0.28439999999999999</v>
      </c>
      <c r="AO15" s="21">
        <f t="shared" si="4"/>
        <v>0.28439999999999999</v>
      </c>
      <c r="AP15" s="21">
        <f t="shared" si="4"/>
        <v>0.28439999999999999</v>
      </c>
      <c r="AQ15" s="21">
        <f t="shared" si="4"/>
        <v>0.28439999999999999</v>
      </c>
      <c r="AR15" s="21">
        <f t="shared" si="4"/>
        <v>0.28439999999999999</v>
      </c>
      <c r="AS15" s="21">
        <f t="shared" si="4"/>
        <v>0.28439999999999999</v>
      </c>
      <c r="AT15" s="21">
        <f t="shared" si="4"/>
        <v>0.28439999999999999</v>
      </c>
    </row>
    <row r="16" spans="1:46">
      <c r="A16" t="s">
        <v>61</v>
      </c>
      <c r="B16" s="12">
        <f>SUM(B11:B15)</f>
        <v>233982</v>
      </c>
      <c r="C16" s="12">
        <f>SUM(C11:C15)</f>
        <v>227238</v>
      </c>
      <c r="D16" s="12">
        <f t="shared" ref="D16:I16" si="5">SUM(D11:D15)</f>
        <v>162380</v>
      </c>
      <c r="E16" s="12">
        <f t="shared" si="5"/>
        <v>126038</v>
      </c>
      <c r="F16" s="12">
        <f t="shared" si="5"/>
        <v>62334</v>
      </c>
      <c r="G16" s="12">
        <f t="shared" si="5"/>
        <v>30608</v>
      </c>
      <c r="H16" s="12">
        <f t="shared" si="5"/>
        <v>24048</v>
      </c>
      <c r="I16" s="12">
        <f t="shared" si="5"/>
        <v>26524</v>
      </c>
      <c r="J16" s="12">
        <f>SUM(J11:J15)</f>
        <v>24125</v>
      </c>
      <c r="K16" s="12">
        <f>SUM(K11:K15)</f>
        <v>55845</v>
      </c>
      <c r="L16" s="12">
        <f>SUM(L11:L15)</f>
        <v>85309</v>
      </c>
      <c r="M16" s="12">
        <f>SUM(M11:M15)</f>
        <v>138971</v>
      </c>
      <c r="N16" s="12">
        <f>SUM(N11:N15)</f>
        <v>1197402</v>
      </c>
      <c r="O16" s="26"/>
      <c r="R16" s="22"/>
      <c r="S16" s="73"/>
      <c r="T16" s="22"/>
    </row>
    <row r="17" spans="1:46" ht="17.25">
      <c r="A17" t="s">
        <v>62</v>
      </c>
      <c r="B17" s="24">
        <f>128283+B25</f>
        <v>128283</v>
      </c>
      <c r="C17" s="24">
        <f>118972+C25</f>
        <v>118972</v>
      </c>
      <c r="D17" s="24">
        <f>87683+D25</f>
        <v>87683</v>
      </c>
      <c r="E17" s="24">
        <f>66148+E25</f>
        <v>66148</v>
      </c>
      <c r="F17" s="24">
        <f>36296+F25</f>
        <v>36513</v>
      </c>
      <c r="G17" s="25">
        <f>30413+G25</f>
        <v>37480</v>
      </c>
      <c r="H17" s="25">
        <f>30365+H25</f>
        <v>41183</v>
      </c>
      <c r="I17" s="25">
        <f>20379+I25</f>
        <v>31478</v>
      </c>
      <c r="J17" s="25">
        <f>22990+J25</f>
        <v>31588</v>
      </c>
      <c r="K17" s="25">
        <f>47310+K25</f>
        <v>54163</v>
      </c>
      <c r="L17" s="25">
        <f>76610+L25</f>
        <v>79316</v>
      </c>
      <c r="M17" s="24">
        <f>143399+M25</f>
        <v>143399</v>
      </c>
      <c r="N17" s="24">
        <f t="shared" si="3"/>
        <v>856206</v>
      </c>
      <c r="O17" s="17">
        <v>0.17444471649346202</v>
      </c>
      <c r="P17" s="16">
        <f>$P$23*$O17</f>
        <v>87027.042479515774</v>
      </c>
      <c r="Q17" s="16">
        <f>'2014-2015 TaxYear Based on 2013'!C33</f>
        <v>1424535.7000000002</v>
      </c>
      <c r="R17" s="18">
        <v>0.30940000000000001</v>
      </c>
      <c r="S17" s="73"/>
      <c r="T17" s="22"/>
      <c r="U17" s="20">
        <f t="shared" ref="U17:AD17" si="6">$R17*D17</f>
        <v>27129.120200000001</v>
      </c>
      <c r="V17" s="20">
        <f t="shared" si="6"/>
        <v>20466.191200000001</v>
      </c>
      <c r="W17" s="20">
        <f t="shared" si="6"/>
        <v>11297.1222</v>
      </c>
      <c r="X17" s="20">
        <f t="shared" si="6"/>
        <v>11596.312</v>
      </c>
      <c r="Y17" s="20">
        <f t="shared" si="6"/>
        <v>12742.020200000001</v>
      </c>
      <c r="Z17" s="20">
        <f t="shared" si="6"/>
        <v>9739.2932000000001</v>
      </c>
      <c r="AA17" s="20">
        <f t="shared" si="6"/>
        <v>9773.3271999999997</v>
      </c>
      <c r="AB17" s="20">
        <f t="shared" si="6"/>
        <v>16758.032200000001</v>
      </c>
      <c r="AC17" s="20">
        <f t="shared" si="6"/>
        <v>24540.3704</v>
      </c>
      <c r="AD17" s="20">
        <f t="shared" si="6"/>
        <v>44367.650600000001</v>
      </c>
      <c r="AE17" s="20">
        <f>$R17*B17</f>
        <v>39690.760200000004</v>
      </c>
      <c r="AF17" s="20">
        <f>$R17*C17</f>
        <v>36809.936800000003</v>
      </c>
      <c r="AG17" s="20">
        <f>SUM(U17:AF17)</f>
        <v>264910.13640000002</v>
      </c>
      <c r="AH17" s="20" t="s">
        <v>2</v>
      </c>
      <c r="AI17" s="21">
        <f>$R17</f>
        <v>0.30940000000000001</v>
      </c>
      <c r="AJ17" s="21">
        <f t="shared" ref="AJ17:AT17" si="7">$R17</f>
        <v>0.30940000000000001</v>
      </c>
      <c r="AK17" s="21">
        <f t="shared" si="7"/>
        <v>0.30940000000000001</v>
      </c>
      <c r="AL17" s="21">
        <f t="shared" si="7"/>
        <v>0.30940000000000001</v>
      </c>
      <c r="AM17" s="21">
        <f t="shared" si="7"/>
        <v>0.30940000000000001</v>
      </c>
      <c r="AN17" s="21">
        <f t="shared" si="7"/>
        <v>0.30940000000000001</v>
      </c>
      <c r="AO17" s="21">
        <f t="shared" si="7"/>
        <v>0.30940000000000001</v>
      </c>
      <c r="AP17" s="21">
        <f>$R17</f>
        <v>0.30940000000000001</v>
      </c>
      <c r="AQ17" s="21">
        <f t="shared" si="7"/>
        <v>0.30940000000000001</v>
      </c>
      <c r="AR17" s="21">
        <f t="shared" si="7"/>
        <v>0.30940000000000001</v>
      </c>
      <c r="AS17" s="21">
        <f t="shared" si="7"/>
        <v>0.30940000000000001</v>
      </c>
      <c r="AT17" s="21">
        <f t="shared" si="7"/>
        <v>0.30940000000000001</v>
      </c>
    </row>
    <row r="18" spans="1:46">
      <c r="A18" t="s">
        <v>63</v>
      </c>
      <c r="B18" s="15">
        <f>SUM(B16:B17)</f>
        <v>362265</v>
      </c>
      <c r="C18" s="15">
        <f t="shared" ref="C18:N18" si="8">SUM(C16:C17)</f>
        <v>346210</v>
      </c>
      <c r="D18" s="15">
        <f t="shared" si="8"/>
        <v>250063</v>
      </c>
      <c r="E18" s="15">
        <f t="shared" si="8"/>
        <v>192186</v>
      </c>
      <c r="F18" s="15">
        <f t="shared" si="8"/>
        <v>98847</v>
      </c>
      <c r="G18" s="15">
        <f t="shared" si="8"/>
        <v>68088</v>
      </c>
      <c r="H18" s="15">
        <f t="shared" si="8"/>
        <v>65231</v>
      </c>
      <c r="I18" s="15">
        <f t="shared" si="8"/>
        <v>58002</v>
      </c>
      <c r="J18" s="15">
        <f t="shared" si="8"/>
        <v>55713</v>
      </c>
      <c r="K18" s="15">
        <f t="shared" si="8"/>
        <v>110008</v>
      </c>
      <c r="L18" s="15">
        <f t="shared" si="8"/>
        <v>164625</v>
      </c>
      <c r="M18" s="15">
        <f t="shared" si="8"/>
        <v>282370</v>
      </c>
      <c r="N18" s="15">
        <f t="shared" si="8"/>
        <v>2053608</v>
      </c>
      <c r="O18" s="26"/>
      <c r="P18" s="16"/>
      <c r="R18" s="22"/>
      <c r="S18" s="62"/>
      <c r="T18" s="22"/>
      <c r="AG18" s="20"/>
    </row>
    <row r="19" spans="1:46">
      <c r="A19" s="2" t="s">
        <v>136</v>
      </c>
      <c r="B19" s="12"/>
      <c r="C19" s="12"/>
      <c r="D19" s="12"/>
      <c r="E19" s="12"/>
      <c r="F19" s="12"/>
      <c r="G19" s="15"/>
      <c r="H19" s="15"/>
      <c r="I19" s="15"/>
      <c r="J19" s="15"/>
      <c r="K19" s="15"/>
      <c r="L19" s="15"/>
      <c r="M19" s="12"/>
      <c r="O19" s="26"/>
      <c r="P19" s="16"/>
      <c r="R19" s="22"/>
      <c r="S19" s="62"/>
      <c r="T19" s="22"/>
      <c r="AG19" s="20"/>
    </row>
    <row r="20" spans="1:46">
      <c r="A20" t="s">
        <v>135</v>
      </c>
      <c r="B20" s="12" t="e">
        <f>SUM(#REF!)</f>
        <v>#REF!</v>
      </c>
      <c r="C20" s="12" t="e">
        <f>SUM(#REF!)</f>
        <v>#REF!</v>
      </c>
      <c r="D20" s="12" t="e">
        <f>SUM(#REF!)</f>
        <v>#REF!</v>
      </c>
      <c r="E20" s="12" t="e">
        <f>SUM(#REF!)</f>
        <v>#REF!</v>
      </c>
      <c r="F20" s="12" t="e">
        <f>SUM(#REF!)</f>
        <v>#REF!</v>
      </c>
      <c r="G20" s="12" t="e">
        <f>SUM(#REF!)</f>
        <v>#REF!</v>
      </c>
      <c r="H20" s="12" t="e">
        <f>SUM(#REF!)</f>
        <v>#REF!</v>
      </c>
      <c r="I20" s="12" t="e">
        <f>SUM(#REF!)</f>
        <v>#REF!</v>
      </c>
      <c r="J20" s="12" t="e">
        <f>SUM(#REF!)</f>
        <v>#REF!</v>
      </c>
      <c r="K20" s="12" t="e">
        <f>SUM(#REF!)</f>
        <v>#REF!</v>
      </c>
      <c r="L20" s="12" t="e">
        <f>SUM(#REF!)</f>
        <v>#REF!</v>
      </c>
      <c r="M20" s="12" t="e">
        <f>SUM(#REF!)</f>
        <v>#REF!</v>
      </c>
      <c r="N20" s="12" t="e">
        <f>SUM(#REF!)</f>
        <v>#REF!</v>
      </c>
      <c r="O20" s="17">
        <v>0.52170000000000005</v>
      </c>
      <c r="P20" s="16">
        <f>$P$23*$O20</f>
        <v>260265.88236202041</v>
      </c>
      <c r="Q20" s="16">
        <f>'2014-2015 TaxYear Based on 2013'!C40</f>
        <v>2219384</v>
      </c>
      <c r="R20" s="18">
        <v>0.26529999999999998</v>
      </c>
      <c r="S20" s="73"/>
      <c r="T20" s="22"/>
      <c r="U20" s="20" t="e">
        <f t="shared" ref="U20:AD20" si="9">$R20*D20</f>
        <v>#REF!</v>
      </c>
      <c r="V20" s="20" t="e">
        <f t="shared" si="9"/>
        <v>#REF!</v>
      </c>
      <c r="W20" s="20" t="e">
        <f t="shared" si="9"/>
        <v>#REF!</v>
      </c>
      <c r="X20" s="20" t="e">
        <f t="shared" si="9"/>
        <v>#REF!</v>
      </c>
      <c r="Y20" s="20" t="e">
        <f t="shared" si="9"/>
        <v>#REF!</v>
      </c>
      <c r="Z20" s="20" t="e">
        <f t="shared" si="9"/>
        <v>#REF!</v>
      </c>
      <c r="AA20" s="20" t="e">
        <f t="shared" si="9"/>
        <v>#REF!</v>
      </c>
      <c r="AB20" s="20" t="e">
        <f t="shared" si="9"/>
        <v>#REF!</v>
      </c>
      <c r="AC20" s="20" t="e">
        <f t="shared" si="9"/>
        <v>#REF!</v>
      </c>
      <c r="AD20" s="20" t="e">
        <f t="shared" si="9"/>
        <v>#REF!</v>
      </c>
      <c r="AE20" s="20" t="e">
        <f>$R20*B20</f>
        <v>#REF!</v>
      </c>
      <c r="AF20" s="20" t="e">
        <f>$R20*C20</f>
        <v>#REF!</v>
      </c>
      <c r="AG20" s="20" t="e">
        <f>SUM(U20:AF20)</f>
        <v>#REF!</v>
      </c>
      <c r="AH20" s="20" t="s">
        <v>2</v>
      </c>
      <c r="AI20" s="21">
        <f>$R20</f>
        <v>0.26529999999999998</v>
      </c>
      <c r="AJ20" s="21">
        <f t="shared" ref="AJ20:AT20" si="10">$R20</f>
        <v>0.26529999999999998</v>
      </c>
      <c r="AK20" s="21">
        <f t="shared" si="10"/>
        <v>0.26529999999999998</v>
      </c>
      <c r="AL20" s="21">
        <f t="shared" si="10"/>
        <v>0.26529999999999998</v>
      </c>
      <c r="AM20" s="21">
        <f t="shared" si="10"/>
        <v>0.26529999999999998</v>
      </c>
      <c r="AN20" s="21">
        <f t="shared" si="10"/>
        <v>0.26529999999999998</v>
      </c>
      <c r="AO20" s="21">
        <f t="shared" si="10"/>
        <v>0.26529999999999998</v>
      </c>
      <c r="AP20" s="21">
        <f>$R20</f>
        <v>0.26529999999999998</v>
      </c>
      <c r="AQ20" s="21">
        <f t="shared" si="10"/>
        <v>0.26529999999999998</v>
      </c>
      <c r="AR20" s="21">
        <f t="shared" si="10"/>
        <v>0.26529999999999998</v>
      </c>
      <c r="AS20" s="21">
        <f t="shared" si="10"/>
        <v>0.26529999999999998</v>
      </c>
      <c r="AT20" s="21">
        <f t="shared" si="10"/>
        <v>0.26529999999999998</v>
      </c>
    </row>
    <row r="21" spans="1:46">
      <c r="B21" s="12">
        <v>250</v>
      </c>
      <c r="C21" s="12">
        <v>250</v>
      </c>
      <c r="D21" s="12">
        <v>250</v>
      </c>
      <c r="E21" s="12">
        <v>250</v>
      </c>
      <c r="F21" s="12">
        <v>250</v>
      </c>
      <c r="G21" s="12">
        <v>250</v>
      </c>
      <c r="H21" s="15">
        <v>250</v>
      </c>
      <c r="I21" s="15">
        <v>250</v>
      </c>
      <c r="J21" s="15">
        <v>250</v>
      </c>
      <c r="K21" s="15">
        <v>250</v>
      </c>
      <c r="L21" s="15">
        <v>250</v>
      </c>
      <c r="M21" s="12">
        <v>250</v>
      </c>
      <c r="N21" s="16">
        <f>SUM(B21:M21)</f>
        <v>3000</v>
      </c>
      <c r="O21" s="26"/>
      <c r="R21" s="22"/>
      <c r="S21" s="62"/>
      <c r="T21" s="22"/>
    </row>
    <row r="22" spans="1:46" ht="18" thickBo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R22" s="22"/>
      <c r="S22" s="62"/>
      <c r="T22" s="22"/>
    </row>
    <row r="23" spans="1:46" ht="15.75" thickBot="1">
      <c r="A23" t="s">
        <v>65</v>
      </c>
      <c r="B23" s="12" t="e">
        <f>#REF!+B22</f>
        <v>#REF!</v>
      </c>
      <c r="C23" s="12" t="e">
        <f>#REF!+C22</f>
        <v>#REF!</v>
      </c>
      <c r="D23" s="12" t="e">
        <f>#REF!+D22</f>
        <v>#REF!</v>
      </c>
      <c r="E23" s="12" t="e">
        <f>#REF!+E22</f>
        <v>#REF!</v>
      </c>
      <c r="F23" s="12" t="e">
        <f>#REF!+F22</f>
        <v>#REF!</v>
      </c>
      <c r="G23" s="12" t="e">
        <f>#REF!+G22</f>
        <v>#REF!</v>
      </c>
      <c r="H23" s="12" t="e">
        <f>#REF!+H22</f>
        <v>#REF!</v>
      </c>
      <c r="I23" s="12" t="e">
        <f>#REF!+I22</f>
        <v>#REF!</v>
      </c>
      <c r="J23" s="12" t="e">
        <f>#REF!+J22</f>
        <v>#REF!</v>
      </c>
      <c r="K23" s="12" t="e">
        <f>#REF!+K22</f>
        <v>#REF!</v>
      </c>
      <c r="L23" s="12" t="e">
        <f>#REF!+L22</f>
        <v>#REF!</v>
      </c>
      <c r="M23" s="12" t="e">
        <f>#REF!+M22</f>
        <v>#REF!</v>
      </c>
      <c r="N23" s="12" t="e">
        <f>#REF!+N22</f>
        <v>#REF!</v>
      </c>
      <c r="O23" s="17">
        <f>SUM(O11:O22)</f>
        <v>0.99998707479587312</v>
      </c>
      <c r="P23" s="74">
        <f>SUM('2014-2015 TaxYear Based on 2013'!H15)</f>
        <v>498880.35722066392</v>
      </c>
      <c r="Q23" s="75">
        <f>SUM('2014-2015 TaxYear Based on 2013'!C41)</f>
        <v>4977869.4000000004</v>
      </c>
      <c r="R23" s="76"/>
      <c r="S23" s="77">
        <f>P23/Q23</f>
        <v>0.10021965566647126</v>
      </c>
      <c r="T23" s="22"/>
      <c r="U23" s="20" t="e">
        <f t="shared" ref="U23:AG23" si="11">SUM(U11:U22)</f>
        <v>#DIV/0!</v>
      </c>
      <c r="V23" s="20" t="e">
        <f t="shared" si="11"/>
        <v>#DIV/0!</v>
      </c>
      <c r="W23" s="20" t="e">
        <f t="shared" si="11"/>
        <v>#DIV/0!</v>
      </c>
      <c r="X23" s="20" t="e">
        <f t="shared" si="11"/>
        <v>#DIV/0!</v>
      </c>
      <c r="Y23" s="20" t="e">
        <f t="shared" si="11"/>
        <v>#DIV/0!</v>
      </c>
      <c r="Z23" s="20" t="e">
        <f t="shared" si="11"/>
        <v>#DIV/0!</v>
      </c>
      <c r="AA23" s="20" t="e">
        <f t="shared" si="11"/>
        <v>#DIV/0!</v>
      </c>
      <c r="AB23" s="20" t="e">
        <f t="shared" si="11"/>
        <v>#DIV/0!</v>
      </c>
      <c r="AC23" s="20" t="e">
        <f t="shared" si="11"/>
        <v>#DIV/0!</v>
      </c>
      <c r="AD23" s="20" t="e">
        <f t="shared" si="11"/>
        <v>#DIV/0!</v>
      </c>
      <c r="AE23" s="20" t="e">
        <f t="shared" si="11"/>
        <v>#DIV/0!</v>
      </c>
      <c r="AF23" s="20" t="e">
        <f t="shared" si="11"/>
        <v>#DIV/0!</v>
      </c>
      <c r="AG23" s="20" t="e">
        <f t="shared" si="11"/>
        <v>#DIV/0!</v>
      </c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6" ht="14.25" hidden="1" customHeight="1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7"/>
      <c r="P24" s="11"/>
      <c r="Q24" t="s">
        <v>66</v>
      </c>
      <c r="R24" s="22"/>
      <c r="S24" s="22"/>
      <c r="T24" s="22">
        <v>2</v>
      </c>
    </row>
    <row r="25" spans="1:46" hidden="1">
      <c r="A25" t="s">
        <v>67</v>
      </c>
      <c r="B25" s="12">
        <v>0</v>
      </c>
      <c r="C25" s="12">
        <v>0</v>
      </c>
      <c r="D25" s="12">
        <v>0</v>
      </c>
      <c r="E25" s="12">
        <v>0</v>
      </c>
      <c r="F25" s="12">
        <v>217</v>
      </c>
      <c r="G25" s="15">
        <v>7067</v>
      </c>
      <c r="H25" s="15">
        <v>10818</v>
      </c>
      <c r="I25" s="15">
        <v>11099</v>
      </c>
      <c r="J25" s="15">
        <v>8598</v>
      </c>
      <c r="K25" s="15">
        <v>6853</v>
      </c>
      <c r="L25" s="15">
        <v>2706</v>
      </c>
      <c r="M25" s="12">
        <v>0</v>
      </c>
      <c r="N25" s="12"/>
      <c r="O25" s="27"/>
      <c r="P25" s="16"/>
      <c r="Q25" t="s">
        <v>28</v>
      </c>
      <c r="R25" s="22"/>
      <c r="S25" s="22"/>
      <c r="T25" s="28">
        <v>308.58333333333331</v>
      </c>
      <c r="AI25" t="s">
        <v>68</v>
      </c>
      <c r="AL25" s="11"/>
      <c r="AN25" s="11"/>
    </row>
    <row r="26" spans="1:46" hidden="1">
      <c r="B26" s="12"/>
      <c r="C26" s="12"/>
      <c r="D26" s="12"/>
      <c r="E26" s="12"/>
      <c r="F26" s="12"/>
      <c r="G26" s="15"/>
      <c r="H26" s="15"/>
      <c r="I26" s="15"/>
      <c r="J26" s="15"/>
      <c r="K26" s="15"/>
      <c r="L26" s="15"/>
      <c r="M26" s="12"/>
      <c r="O26" s="26"/>
      <c r="R26" s="13" t="s">
        <v>69</v>
      </c>
      <c r="S26" s="13"/>
      <c r="T26" s="13" t="s">
        <v>30</v>
      </c>
    </row>
    <row r="27" spans="1:46" hidden="1">
      <c r="B27" s="12" t="s">
        <v>70</v>
      </c>
      <c r="C27" s="12" t="s">
        <v>70</v>
      </c>
      <c r="D27" s="12" t="s">
        <v>70</v>
      </c>
      <c r="E27" s="12" t="s">
        <v>70</v>
      </c>
      <c r="F27" s="12" t="s">
        <v>70</v>
      </c>
      <c r="G27" s="15" t="s">
        <v>70</v>
      </c>
      <c r="H27" s="15" t="s">
        <v>70</v>
      </c>
      <c r="I27" s="15" t="s">
        <v>70</v>
      </c>
      <c r="J27" s="15" t="s">
        <v>70</v>
      </c>
      <c r="K27" s="15" t="s">
        <v>70</v>
      </c>
      <c r="L27" s="15" t="s">
        <v>70</v>
      </c>
      <c r="M27" s="12" t="s">
        <v>70</v>
      </c>
      <c r="O27" s="26"/>
      <c r="R27" s="14" t="s">
        <v>54</v>
      </c>
      <c r="S27" s="14"/>
      <c r="T27" s="14" t="s">
        <v>55</v>
      </c>
      <c r="AG27" s="20"/>
    </row>
    <row r="28" spans="1:46" hidden="1">
      <c r="A28" t="s">
        <v>71</v>
      </c>
      <c r="B28" s="12">
        <v>7071</v>
      </c>
      <c r="C28" s="12">
        <v>4022</v>
      </c>
      <c r="D28" s="12">
        <v>4042</v>
      </c>
      <c r="E28" s="12">
        <v>2862</v>
      </c>
      <c r="F28" s="12">
        <v>1074</v>
      </c>
      <c r="G28" s="12">
        <v>668</v>
      </c>
      <c r="H28" s="15">
        <v>447</v>
      </c>
      <c r="I28" s="15">
        <v>640</v>
      </c>
      <c r="J28" s="15">
        <v>564</v>
      </c>
      <c r="K28" s="15">
        <v>2072</v>
      </c>
      <c r="L28" s="15">
        <v>2394</v>
      </c>
      <c r="M28" s="12">
        <v>5910</v>
      </c>
      <c r="N28" s="16">
        <f>SUM(B28:M28)</f>
        <v>31766</v>
      </c>
      <c r="O28" s="29">
        <v>0.19316749961911203</v>
      </c>
      <c r="P28" s="11">
        <f>$P$32*$O28</f>
        <v>309.06799939057925</v>
      </c>
      <c r="Q28" s="16">
        <v>32810</v>
      </c>
      <c r="R28" s="18">
        <v>0.35360000000000003</v>
      </c>
      <c r="S28" s="18">
        <f>P28/Q28</f>
        <v>9.4199329286979352E-3</v>
      </c>
      <c r="T28" s="19">
        <v>0</v>
      </c>
      <c r="U28" s="20">
        <f t="shared" ref="U28:AD29" si="12">$R28*D28</f>
        <v>1429.2512000000002</v>
      </c>
      <c r="V28" s="20">
        <f t="shared" si="12"/>
        <v>1012.0032000000001</v>
      </c>
      <c r="W28" s="20">
        <f t="shared" si="12"/>
        <v>379.76640000000003</v>
      </c>
      <c r="X28" s="20">
        <f t="shared" si="12"/>
        <v>236.20480000000001</v>
      </c>
      <c r="Y28" s="20">
        <f t="shared" si="12"/>
        <v>158.0592</v>
      </c>
      <c r="Z28" s="20">
        <f t="shared" si="12"/>
        <v>226.30400000000003</v>
      </c>
      <c r="AA28" s="20">
        <f t="shared" si="12"/>
        <v>199.43040000000002</v>
      </c>
      <c r="AB28" s="20">
        <f t="shared" si="12"/>
        <v>732.65920000000006</v>
      </c>
      <c r="AC28" s="20">
        <f t="shared" si="12"/>
        <v>846.51840000000004</v>
      </c>
      <c r="AD28" s="20">
        <f t="shared" si="12"/>
        <v>2089.7760000000003</v>
      </c>
      <c r="AE28" s="20">
        <f>$R28*B28</f>
        <v>2500.3056000000001</v>
      </c>
      <c r="AF28" s="20">
        <f>$R28*C28</f>
        <v>1422.1792</v>
      </c>
      <c r="AG28" s="20">
        <f>SUM(U28:AF28)</f>
        <v>11232.457600000002</v>
      </c>
      <c r="AH28" s="20" t="s">
        <v>2</v>
      </c>
      <c r="AI28" s="21">
        <f>$R28</f>
        <v>0.35360000000000003</v>
      </c>
      <c r="AJ28" s="21">
        <f t="shared" ref="AJ28:AT29" si="13">$R28</f>
        <v>0.35360000000000003</v>
      </c>
      <c r="AK28" s="21">
        <f t="shared" si="13"/>
        <v>0.35360000000000003</v>
      </c>
      <c r="AL28" s="21">
        <f t="shared" si="13"/>
        <v>0.35360000000000003</v>
      </c>
      <c r="AM28" s="21">
        <f t="shared" si="13"/>
        <v>0.35360000000000003</v>
      </c>
      <c r="AN28" s="21">
        <f t="shared" si="13"/>
        <v>0.35360000000000003</v>
      </c>
      <c r="AO28" s="21">
        <f t="shared" si="13"/>
        <v>0.35360000000000003</v>
      </c>
      <c r="AP28" s="21">
        <f t="shared" si="13"/>
        <v>0.35360000000000003</v>
      </c>
      <c r="AQ28" s="21">
        <f t="shared" si="13"/>
        <v>0.35360000000000003</v>
      </c>
      <c r="AR28" s="21">
        <f t="shared" si="13"/>
        <v>0.35360000000000003</v>
      </c>
      <c r="AS28" s="21">
        <f t="shared" si="13"/>
        <v>0.35360000000000003</v>
      </c>
      <c r="AT28" s="21">
        <f t="shared" si="13"/>
        <v>0.35360000000000003</v>
      </c>
    </row>
    <row r="29" spans="1:46" ht="17.25" hidden="1">
      <c r="A29" t="s">
        <v>72</v>
      </c>
      <c r="B29" s="24">
        <v>3090</v>
      </c>
      <c r="C29" s="24">
        <v>2087</v>
      </c>
      <c r="D29" s="24">
        <v>1590</v>
      </c>
      <c r="E29" s="24">
        <v>909</v>
      </c>
      <c r="F29" s="24">
        <v>411</v>
      </c>
      <c r="G29" s="24">
        <v>337</v>
      </c>
      <c r="H29" s="25">
        <v>302</v>
      </c>
      <c r="I29" s="25">
        <v>389</v>
      </c>
      <c r="J29" s="25">
        <v>365</v>
      </c>
      <c r="K29" s="25">
        <v>618</v>
      </c>
      <c r="L29" s="25">
        <v>948</v>
      </c>
      <c r="M29" s="24">
        <v>1963</v>
      </c>
      <c r="N29" s="24">
        <f>SUM(B29:M29)</f>
        <v>13009</v>
      </c>
      <c r="O29" s="29">
        <v>7.5904366823500893E-2</v>
      </c>
      <c r="P29" s="11">
        <f>$P$32*$O29</f>
        <v>121.44698691760144</v>
      </c>
      <c r="Q29" s="16">
        <v>12446</v>
      </c>
      <c r="R29" s="18">
        <v>0.3211</v>
      </c>
      <c r="S29" s="18">
        <f>P29/Q29</f>
        <v>9.7579131381649881E-3</v>
      </c>
      <c r="T29" s="22"/>
      <c r="U29" s="20">
        <f t="shared" si="12"/>
        <v>510.54899999999998</v>
      </c>
      <c r="V29" s="20">
        <f t="shared" si="12"/>
        <v>291.87990000000002</v>
      </c>
      <c r="W29" s="20">
        <f t="shared" si="12"/>
        <v>131.97210000000001</v>
      </c>
      <c r="X29" s="20">
        <f t="shared" si="12"/>
        <v>108.2107</v>
      </c>
      <c r="Y29" s="20">
        <f t="shared" si="12"/>
        <v>96.972200000000001</v>
      </c>
      <c r="Z29" s="20">
        <f t="shared" si="12"/>
        <v>124.9079</v>
      </c>
      <c r="AA29" s="20">
        <f t="shared" si="12"/>
        <v>117.2015</v>
      </c>
      <c r="AB29" s="20">
        <f t="shared" si="12"/>
        <v>198.43979999999999</v>
      </c>
      <c r="AC29" s="20">
        <f t="shared" si="12"/>
        <v>304.40280000000001</v>
      </c>
      <c r="AD29" s="20">
        <f t="shared" si="12"/>
        <v>630.3193</v>
      </c>
      <c r="AE29" s="20">
        <f>$R29*B29</f>
        <v>992.19899999999996</v>
      </c>
      <c r="AF29" s="20">
        <f>$R29*C29</f>
        <v>670.13570000000004</v>
      </c>
      <c r="AG29" s="20">
        <f>SUM(U29:AF29)</f>
        <v>4177.1899000000003</v>
      </c>
      <c r="AH29" s="20" t="s">
        <v>2</v>
      </c>
      <c r="AI29" s="21">
        <f>$R29</f>
        <v>0.3211</v>
      </c>
      <c r="AJ29" s="21">
        <f t="shared" si="13"/>
        <v>0.3211</v>
      </c>
      <c r="AK29" s="21">
        <f t="shared" si="13"/>
        <v>0.3211</v>
      </c>
      <c r="AL29" s="21">
        <f t="shared" si="13"/>
        <v>0.3211</v>
      </c>
      <c r="AM29" s="21">
        <f t="shared" si="13"/>
        <v>0.3211</v>
      </c>
      <c r="AN29" s="21">
        <f t="shared" si="13"/>
        <v>0.3211</v>
      </c>
      <c r="AO29" s="21">
        <f t="shared" si="13"/>
        <v>0.3211</v>
      </c>
      <c r="AP29" s="21">
        <f t="shared" si="13"/>
        <v>0.3211</v>
      </c>
      <c r="AQ29" s="21">
        <f t="shared" si="13"/>
        <v>0.3211</v>
      </c>
      <c r="AR29" s="21">
        <f t="shared" si="13"/>
        <v>0.3211</v>
      </c>
      <c r="AS29" s="21">
        <f t="shared" si="13"/>
        <v>0.3211</v>
      </c>
      <c r="AT29" s="21">
        <f t="shared" si="13"/>
        <v>0.3211</v>
      </c>
    </row>
    <row r="30" spans="1:46" hidden="1">
      <c r="A30" t="s">
        <v>64</v>
      </c>
      <c r="B30" s="12">
        <f>B28+B29</f>
        <v>10161</v>
      </c>
      <c r="C30" s="12">
        <f t="shared" ref="C30:N30" si="14">C28+C29</f>
        <v>6109</v>
      </c>
      <c r="D30" s="12">
        <f t="shared" si="14"/>
        <v>5632</v>
      </c>
      <c r="E30" s="12">
        <f t="shared" si="14"/>
        <v>3771</v>
      </c>
      <c r="F30" s="12">
        <f t="shared" si="14"/>
        <v>1485</v>
      </c>
      <c r="G30" s="12">
        <f t="shared" si="14"/>
        <v>1005</v>
      </c>
      <c r="H30" s="12">
        <f t="shared" si="14"/>
        <v>749</v>
      </c>
      <c r="I30" s="12">
        <f t="shared" si="14"/>
        <v>1029</v>
      </c>
      <c r="J30" s="12">
        <f t="shared" si="14"/>
        <v>929</v>
      </c>
      <c r="K30" s="12">
        <f t="shared" si="14"/>
        <v>2690</v>
      </c>
      <c r="L30" s="12">
        <f t="shared" si="14"/>
        <v>3342</v>
      </c>
      <c r="M30" s="12">
        <f t="shared" si="14"/>
        <v>7873</v>
      </c>
      <c r="N30" s="12">
        <f t="shared" si="14"/>
        <v>44775</v>
      </c>
      <c r="O30" s="12"/>
      <c r="R30" s="22"/>
      <c r="S30" s="18"/>
      <c r="T30" s="22"/>
    </row>
    <row r="31" spans="1:46" ht="17.25" hidden="1">
      <c r="A31" t="s">
        <v>73</v>
      </c>
      <c r="B31" s="24">
        <v>15046</v>
      </c>
      <c r="C31" s="24">
        <v>14745</v>
      </c>
      <c r="D31" s="24">
        <v>11021</v>
      </c>
      <c r="E31" s="24">
        <v>5563</v>
      </c>
      <c r="F31" s="24">
        <v>2137</v>
      </c>
      <c r="G31" s="24">
        <v>1221</v>
      </c>
      <c r="H31" s="25">
        <v>1081</v>
      </c>
      <c r="I31" s="25">
        <v>1262</v>
      </c>
      <c r="J31" s="25">
        <v>1433</v>
      </c>
      <c r="K31" s="25">
        <v>7967</v>
      </c>
      <c r="L31" s="25">
        <v>9364</v>
      </c>
      <c r="M31" s="24">
        <v>14388</v>
      </c>
      <c r="N31" s="24">
        <f>SUM(B31:M31)</f>
        <v>85228</v>
      </c>
      <c r="O31" s="30">
        <v>0.73092813355738717</v>
      </c>
      <c r="P31" s="11">
        <f>$P$32*$O31</f>
        <v>1169.4850136918194</v>
      </c>
      <c r="Q31" s="16">
        <v>71234</v>
      </c>
      <c r="R31" s="18">
        <v>0.2883</v>
      </c>
      <c r="S31" s="18">
        <f>P31/Q31</f>
        <v>1.6417511492992382E-2</v>
      </c>
      <c r="T31" s="22"/>
      <c r="U31" s="20">
        <f t="shared" ref="U31:AD31" si="15">$R31*D31</f>
        <v>3177.3543</v>
      </c>
      <c r="V31" s="20">
        <f t="shared" si="15"/>
        <v>1603.8128999999999</v>
      </c>
      <c r="W31" s="20">
        <f t="shared" si="15"/>
        <v>616.09709999999995</v>
      </c>
      <c r="X31" s="20">
        <f t="shared" si="15"/>
        <v>352.01429999999999</v>
      </c>
      <c r="Y31" s="20">
        <f t="shared" si="15"/>
        <v>311.65230000000003</v>
      </c>
      <c r="Z31" s="20">
        <f t="shared" si="15"/>
        <v>363.83460000000002</v>
      </c>
      <c r="AA31" s="20">
        <f t="shared" si="15"/>
        <v>413.13389999999998</v>
      </c>
      <c r="AB31" s="20">
        <f t="shared" si="15"/>
        <v>2296.8861000000002</v>
      </c>
      <c r="AC31" s="20">
        <f t="shared" si="15"/>
        <v>2699.6412</v>
      </c>
      <c r="AD31" s="20">
        <f t="shared" si="15"/>
        <v>4148.0604000000003</v>
      </c>
      <c r="AE31" s="20">
        <f>$R31*B31</f>
        <v>4337.7618000000002</v>
      </c>
      <c r="AF31" s="20">
        <f>$R31*C31</f>
        <v>4250.9835000000003</v>
      </c>
      <c r="AG31" s="20">
        <f>SUM(U31:AF31)</f>
        <v>24571.232400000001</v>
      </c>
      <c r="AH31" s="20" t="s">
        <v>2</v>
      </c>
      <c r="AI31" s="21">
        <f>$R31</f>
        <v>0.2883</v>
      </c>
      <c r="AJ31" s="21">
        <f t="shared" ref="AJ31:AT31" si="16">$R31</f>
        <v>0.2883</v>
      </c>
      <c r="AK31" s="21">
        <f t="shared" si="16"/>
        <v>0.2883</v>
      </c>
      <c r="AL31" s="21">
        <f t="shared" si="16"/>
        <v>0.2883</v>
      </c>
      <c r="AM31" s="21">
        <f t="shared" si="16"/>
        <v>0.2883</v>
      </c>
      <c r="AN31" s="21">
        <f t="shared" si="16"/>
        <v>0.2883</v>
      </c>
      <c r="AO31" s="21">
        <f t="shared" si="16"/>
        <v>0.2883</v>
      </c>
      <c r="AP31" s="21">
        <f t="shared" si="16"/>
        <v>0.2883</v>
      </c>
      <c r="AQ31" s="21">
        <f t="shared" si="16"/>
        <v>0.2883</v>
      </c>
      <c r="AR31" s="21">
        <f t="shared" si="16"/>
        <v>0.2883</v>
      </c>
      <c r="AS31" s="21">
        <f t="shared" si="16"/>
        <v>0.2883</v>
      </c>
      <c r="AT31" s="21">
        <f t="shared" si="16"/>
        <v>0.2883</v>
      </c>
    </row>
    <row r="32" spans="1:46" hidden="1">
      <c r="A32" t="s">
        <v>74</v>
      </c>
      <c r="B32" s="12">
        <f>B30+B31</f>
        <v>25207</v>
      </c>
      <c r="C32" s="12">
        <f t="shared" ref="C32:N32" si="17">C30+C31</f>
        <v>20854</v>
      </c>
      <c r="D32" s="12">
        <f t="shared" si="17"/>
        <v>16653</v>
      </c>
      <c r="E32" s="12">
        <f t="shared" si="17"/>
        <v>9334</v>
      </c>
      <c r="F32" s="12">
        <f t="shared" si="17"/>
        <v>3622</v>
      </c>
      <c r="G32" s="12">
        <f t="shared" si="17"/>
        <v>2226</v>
      </c>
      <c r="H32" s="12">
        <f t="shared" si="17"/>
        <v>1830</v>
      </c>
      <c r="I32" s="12">
        <f t="shared" si="17"/>
        <v>2291</v>
      </c>
      <c r="J32" s="12">
        <f t="shared" si="17"/>
        <v>2362</v>
      </c>
      <c r="K32" s="12">
        <f t="shared" si="17"/>
        <v>10657</v>
      </c>
      <c r="L32" s="12">
        <f t="shared" si="17"/>
        <v>12706</v>
      </c>
      <c r="M32" s="12">
        <f t="shared" si="17"/>
        <v>22261</v>
      </c>
      <c r="N32" s="12">
        <f t="shared" si="17"/>
        <v>130003</v>
      </c>
      <c r="O32" s="29">
        <f>SUM(O28:O31)</f>
        <v>1</v>
      </c>
      <c r="P32" s="11">
        <v>1600</v>
      </c>
      <c r="R32" s="22"/>
      <c r="S32" s="22"/>
      <c r="T32" s="22"/>
      <c r="U32" s="20">
        <f>SUM(U28:U31)</f>
        <v>5117.1545000000006</v>
      </c>
      <c r="V32" s="20">
        <f t="shared" ref="V32:AB32" si="18">SUM(V28:V31)</f>
        <v>2907.6959999999999</v>
      </c>
      <c r="W32" s="20">
        <f t="shared" si="18"/>
        <v>1127.8355999999999</v>
      </c>
      <c r="X32" s="20">
        <f t="shared" si="18"/>
        <v>696.4298</v>
      </c>
      <c r="Y32" s="20">
        <f t="shared" si="18"/>
        <v>566.68370000000004</v>
      </c>
      <c r="Z32" s="20">
        <f t="shared" si="18"/>
        <v>715.04650000000004</v>
      </c>
      <c r="AA32" s="20">
        <f t="shared" si="18"/>
        <v>729.76580000000001</v>
      </c>
      <c r="AB32" s="20">
        <f t="shared" si="18"/>
        <v>3227.9851000000003</v>
      </c>
      <c r="AC32" s="20">
        <f>SUM(AC28:AC31)</f>
        <v>3850.5623999999998</v>
      </c>
      <c r="AD32" s="20">
        <f>SUM(AD28:AD31)</f>
        <v>6868.1557000000012</v>
      </c>
      <c r="AE32" s="20">
        <f>SUM(AE28:AE31)</f>
        <v>7830.2664000000004</v>
      </c>
      <c r="AF32" s="20">
        <f>SUM(AF28:AF31)</f>
        <v>6343.2984000000006</v>
      </c>
      <c r="AG32" s="20">
        <f>SUM(AG28:AG31)</f>
        <v>39980.8799</v>
      </c>
    </row>
    <row r="33" spans="1:35" ht="15.75" hidden="1">
      <c r="A33" s="31"/>
      <c r="B33" s="12"/>
      <c r="C33" s="12"/>
      <c r="D33" s="12"/>
      <c r="E33" s="12"/>
      <c r="F33" s="12"/>
      <c r="G33" s="15"/>
      <c r="H33" s="15"/>
      <c r="I33" s="15"/>
      <c r="J33" s="15"/>
      <c r="K33" s="15"/>
      <c r="L33" s="15"/>
      <c r="M33" s="12"/>
      <c r="P33" s="11">
        <f>P23+P32</f>
        <v>500480.35722066392</v>
      </c>
      <c r="R33" s="22"/>
      <c r="S33" s="22"/>
      <c r="T33" s="22"/>
      <c r="U33" s="23" t="e">
        <f t="shared" ref="U33:AF33" si="19">U32+U23</f>
        <v>#DIV/0!</v>
      </c>
      <c r="V33" s="23" t="e">
        <f t="shared" si="19"/>
        <v>#DIV/0!</v>
      </c>
      <c r="W33" s="23" t="e">
        <f t="shared" si="19"/>
        <v>#DIV/0!</v>
      </c>
      <c r="X33" s="23" t="e">
        <f t="shared" si="19"/>
        <v>#DIV/0!</v>
      </c>
      <c r="Y33" s="23" t="e">
        <f t="shared" si="19"/>
        <v>#DIV/0!</v>
      </c>
      <c r="Z33" s="23" t="e">
        <f t="shared" si="19"/>
        <v>#DIV/0!</v>
      </c>
      <c r="AA33" s="23" t="e">
        <f t="shared" si="19"/>
        <v>#DIV/0!</v>
      </c>
      <c r="AB33" s="23" t="e">
        <f t="shared" si="19"/>
        <v>#DIV/0!</v>
      </c>
      <c r="AC33" s="23" t="e">
        <f t="shared" si="19"/>
        <v>#DIV/0!</v>
      </c>
      <c r="AD33" s="23" t="e">
        <f t="shared" si="19"/>
        <v>#DIV/0!</v>
      </c>
      <c r="AE33" s="23" t="e">
        <f t="shared" si="19"/>
        <v>#DIV/0!</v>
      </c>
      <c r="AF33" s="23" t="e">
        <f t="shared" si="19"/>
        <v>#DIV/0!</v>
      </c>
      <c r="AG33" s="20" t="e">
        <f>SUM(U33:AF33)</f>
        <v>#DIV/0!</v>
      </c>
    </row>
    <row r="34" spans="1:35" ht="15.75" hidden="1">
      <c r="A34" s="31"/>
      <c r="B34" s="31" t="s">
        <v>70</v>
      </c>
      <c r="C34" s="31" t="s">
        <v>70</v>
      </c>
      <c r="D34" s="31" t="s">
        <v>70</v>
      </c>
      <c r="M34" s="12" t="s">
        <v>70</v>
      </c>
      <c r="R34" s="22"/>
      <c r="S34" s="22"/>
      <c r="T34" s="22"/>
      <c r="V34" s="20" t="e">
        <f>U33+V33</f>
        <v>#DIV/0!</v>
      </c>
      <c r="W34" s="20" t="e">
        <f>V34+W33</f>
        <v>#DIV/0!</v>
      </c>
      <c r="X34" s="20" t="e">
        <f t="shared" ref="X34:AC34" si="20">W34+X33</f>
        <v>#DIV/0!</v>
      </c>
      <c r="Y34" s="20" t="e">
        <f t="shared" si="20"/>
        <v>#DIV/0!</v>
      </c>
      <c r="Z34" s="20" t="e">
        <f t="shared" si="20"/>
        <v>#DIV/0!</v>
      </c>
      <c r="AA34" s="20" t="e">
        <f t="shared" si="20"/>
        <v>#DIV/0!</v>
      </c>
      <c r="AB34" s="20" t="e">
        <f t="shared" si="20"/>
        <v>#DIV/0!</v>
      </c>
      <c r="AC34" s="20" t="e">
        <f t="shared" si="20"/>
        <v>#DIV/0!</v>
      </c>
      <c r="AD34" s="20" t="e">
        <f>AC34+AD33</f>
        <v>#DIV/0!</v>
      </c>
      <c r="AE34" s="20" t="e">
        <f>AD34+AE33</f>
        <v>#DIV/0!</v>
      </c>
      <c r="AF34" s="20" t="e">
        <f>AE34+AF33</f>
        <v>#DIV/0!</v>
      </c>
      <c r="AG34" s="11"/>
    </row>
    <row r="35" spans="1:35" ht="15.75">
      <c r="A35" s="31"/>
      <c r="B35" s="12"/>
      <c r="C35" s="12"/>
      <c r="D35" s="12"/>
      <c r="E35" s="12"/>
      <c r="F35" s="12"/>
      <c r="G35" s="15"/>
      <c r="H35" s="15"/>
      <c r="I35" s="15"/>
      <c r="J35" s="15"/>
      <c r="K35" s="15"/>
      <c r="L35" s="15"/>
      <c r="M35" s="12"/>
      <c r="N35" s="16"/>
      <c r="Q35" s="16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7" spans="1:35">
      <c r="AG37" s="29"/>
    </row>
    <row r="38" spans="1:35">
      <c r="AG38" s="32"/>
    </row>
    <row r="48" spans="1:35">
      <c r="AA48" s="20"/>
    </row>
  </sheetData>
  <mergeCells count="1">
    <mergeCell ref="U9:AG9"/>
  </mergeCells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4"/>
  <sheetViews>
    <sheetView zoomScaleNormal="100" workbookViewId="0">
      <selection activeCell="C41" sqref="C41"/>
    </sheetView>
  </sheetViews>
  <sheetFormatPr defaultRowHeight="15"/>
  <cols>
    <col min="1" max="1" width="68.42578125" customWidth="1"/>
    <col min="2" max="2" width="15.85546875" customWidth="1"/>
    <col min="3" max="3" width="15.42578125" bestFit="1" customWidth="1"/>
    <col min="4" max="4" width="13.28515625" bestFit="1" customWidth="1"/>
    <col min="5" max="5" width="13.7109375" customWidth="1"/>
    <col min="6" max="6" width="13.7109375" bestFit="1" customWidth="1"/>
    <col min="8" max="9" width="15.7109375" bestFit="1" customWidth="1"/>
    <col min="10" max="10" width="13.42578125" bestFit="1" customWidth="1"/>
    <col min="11" max="11" width="9.5703125" bestFit="1" customWidth="1"/>
  </cols>
  <sheetData>
    <row r="1" spans="1:10">
      <c r="B1" s="34" t="s">
        <v>91</v>
      </c>
      <c r="C1" s="34" t="s">
        <v>32</v>
      </c>
    </row>
    <row r="2" spans="1:10">
      <c r="B2" s="34" t="s">
        <v>92</v>
      </c>
      <c r="C2" s="34" t="s">
        <v>92</v>
      </c>
    </row>
    <row r="3" spans="1:10">
      <c r="B3" s="34" t="s">
        <v>93</v>
      </c>
      <c r="C3" s="34" t="s">
        <v>93</v>
      </c>
    </row>
    <row r="4" spans="1:10">
      <c r="A4" s="35"/>
      <c r="B4" s="36">
        <v>41639</v>
      </c>
      <c r="C4" s="36">
        <f>B4</f>
        <v>41639</v>
      </c>
    </row>
    <row r="5" spans="1:10">
      <c r="A5" s="35" t="s">
        <v>94</v>
      </c>
    </row>
    <row r="6" spans="1:10">
      <c r="A6" s="35" t="s">
        <v>95</v>
      </c>
      <c r="B6" s="37"/>
      <c r="C6" s="37"/>
    </row>
    <row r="7" spans="1:10">
      <c r="A7" s="38" t="s">
        <v>96</v>
      </c>
      <c r="B7" s="39">
        <v>13108053.469999999</v>
      </c>
      <c r="C7" s="40">
        <v>1119813.6000000001</v>
      </c>
      <c r="D7" s="41"/>
    </row>
    <row r="8" spans="1:10">
      <c r="A8" s="42" t="s">
        <v>97</v>
      </c>
      <c r="B8" s="39">
        <v>2135366.4299999997</v>
      </c>
      <c r="C8" s="40">
        <v>214004.1</v>
      </c>
      <c r="D8" s="41"/>
      <c r="E8" s="35" t="s">
        <v>98</v>
      </c>
      <c r="H8" s="43">
        <v>91853</v>
      </c>
    </row>
    <row r="9" spans="1:10" ht="17.25">
      <c r="A9" s="38" t="s">
        <v>99</v>
      </c>
      <c r="B9" s="44">
        <v>732.12000000000023</v>
      </c>
      <c r="C9" s="45">
        <v>132</v>
      </c>
      <c r="D9" s="41"/>
    </row>
    <row r="10" spans="1:10">
      <c r="B10" s="20">
        <f>SUM(B7:B9)</f>
        <v>15244152.019999998</v>
      </c>
      <c r="C10" s="16">
        <f>SUM(C7:C9)</f>
        <v>1333949.7000000002</v>
      </c>
      <c r="D10" s="41"/>
      <c r="F10" t="s">
        <v>100</v>
      </c>
      <c r="H10" s="11">
        <v>80729.492237789542</v>
      </c>
      <c r="I10" s="11"/>
      <c r="J10" s="46"/>
    </row>
    <row r="11" spans="1:10">
      <c r="A11" s="35" t="s">
        <v>101</v>
      </c>
      <c r="B11" s="39"/>
      <c r="D11" s="41"/>
      <c r="F11" t="s">
        <v>102</v>
      </c>
      <c r="H11" s="47">
        <v>2899.8346154766891</v>
      </c>
      <c r="I11" s="11"/>
      <c r="J11" s="46"/>
    </row>
    <row r="12" spans="1:10" ht="17.25">
      <c r="A12" s="38" t="s">
        <v>103</v>
      </c>
      <c r="B12" s="39">
        <v>1785307.0116404525</v>
      </c>
      <c r="C12" s="40"/>
      <c r="D12" s="41"/>
      <c r="F12" t="s">
        <v>104</v>
      </c>
      <c r="H12" s="48">
        <v>8223.673146733765</v>
      </c>
      <c r="I12" s="11"/>
      <c r="J12" s="46"/>
    </row>
    <row r="13" spans="1:10" ht="17.25">
      <c r="A13" s="38" t="s">
        <v>105</v>
      </c>
      <c r="B13" s="49">
        <v>454746.83239821903</v>
      </c>
      <c r="D13" s="50"/>
      <c r="H13" s="51">
        <v>91853</v>
      </c>
      <c r="I13" s="11"/>
      <c r="J13" s="46"/>
    </row>
    <row r="14" spans="1:10" ht="17.25">
      <c r="A14" s="38" t="s">
        <v>105</v>
      </c>
      <c r="B14" s="47">
        <v>631981.82326132746</v>
      </c>
      <c r="D14" s="41"/>
      <c r="I14" s="48"/>
      <c r="J14" s="48"/>
    </row>
    <row r="15" spans="1:10" ht="17.25">
      <c r="A15" s="38" t="s">
        <v>106</v>
      </c>
      <c r="B15" s="47">
        <v>76596.299999999988</v>
      </c>
      <c r="D15" s="41"/>
      <c r="E15" s="52" t="s">
        <v>107</v>
      </c>
      <c r="F15" s="52"/>
      <c r="G15" s="52"/>
      <c r="H15" s="53">
        <f>C46+-H10-H11</f>
        <v>498880.35722066392</v>
      </c>
      <c r="I15" s="51"/>
      <c r="J15" s="54"/>
    </row>
    <row r="16" spans="1:10">
      <c r="A16" s="38" t="s">
        <v>108</v>
      </c>
      <c r="B16" s="39">
        <v>92343.739699999991</v>
      </c>
      <c r="C16" s="55"/>
      <c r="D16" s="41"/>
    </row>
    <row r="17" spans="1:11" ht="17.25">
      <c r="A17" s="38" t="s">
        <v>109</v>
      </c>
      <c r="B17" s="39">
        <v>29646.260000000002</v>
      </c>
      <c r="F17" t="s">
        <v>110</v>
      </c>
      <c r="H17" s="48">
        <v>327266.21999999997</v>
      </c>
    </row>
    <row r="18" spans="1:11">
      <c r="A18" s="38" t="s">
        <v>111</v>
      </c>
      <c r="B18" s="39">
        <v>210210.36000000002</v>
      </c>
      <c r="F18" t="s">
        <v>112</v>
      </c>
      <c r="H18" s="11">
        <f>H15-H17</f>
        <v>171614.13722066395</v>
      </c>
    </row>
    <row r="19" spans="1:11">
      <c r="A19" s="38" t="s">
        <v>113</v>
      </c>
      <c r="B19" s="39">
        <v>395858.99000000011</v>
      </c>
    </row>
    <row r="20" spans="1:11">
      <c r="A20" s="38" t="s">
        <v>114</v>
      </c>
      <c r="B20" s="39">
        <v>163526.10999999999</v>
      </c>
    </row>
    <row r="21" spans="1:11">
      <c r="A21" s="38" t="s">
        <v>115</v>
      </c>
      <c r="B21" s="39">
        <v>54385.39</v>
      </c>
    </row>
    <row r="22" spans="1:11" ht="17.25">
      <c r="A22" s="38" t="s">
        <v>116</v>
      </c>
      <c r="B22" s="44">
        <v>177018.53</v>
      </c>
    </row>
    <row r="23" spans="1:11">
      <c r="A23" t="s">
        <v>117</v>
      </c>
      <c r="B23" s="56">
        <f>SUM(B10:B22)</f>
        <v>19315773.366999999</v>
      </c>
      <c r="H23" s="47"/>
      <c r="I23" s="11"/>
      <c r="J23" s="20"/>
    </row>
    <row r="24" spans="1:11" ht="17.25">
      <c r="A24" t="s">
        <v>118</v>
      </c>
      <c r="B24" s="57">
        <v>-500000</v>
      </c>
      <c r="H24" s="48"/>
      <c r="I24" s="57"/>
      <c r="J24" s="57"/>
    </row>
    <row r="25" spans="1:11">
      <c r="B25" s="20">
        <f>B23+B24</f>
        <v>18815773.366999999</v>
      </c>
      <c r="H25" s="20"/>
      <c r="I25" s="20"/>
      <c r="J25" s="20"/>
    </row>
    <row r="26" spans="1:11">
      <c r="A26" s="58" t="s">
        <v>119</v>
      </c>
      <c r="B26" s="59">
        <v>1.6299999999999999E-2</v>
      </c>
      <c r="K26" s="20"/>
    </row>
    <row r="27" spans="1:11" ht="17.25">
      <c r="A27" t="s">
        <v>120</v>
      </c>
      <c r="B27" s="56">
        <f>B25*B26</f>
        <v>306697.10588209995</v>
      </c>
      <c r="K27" s="57"/>
    </row>
    <row r="28" spans="1:11">
      <c r="K28" s="20"/>
    </row>
    <row r="29" spans="1:11">
      <c r="A29" s="60" t="s">
        <v>121</v>
      </c>
      <c r="B29" s="34" t="s">
        <v>32</v>
      </c>
    </row>
    <row r="30" spans="1:11">
      <c r="A30" s="38" t="s">
        <v>103</v>
      </c>
      <c r="B30" s="41">
        <v>417192.50000000006</v>
      </c>
    </row>
    <row r="31" spans="1:11">
      <c r="A31" s="38" t="s">
        <v>105</v>
      </c>
      <c r="B31" s="41">
        <v>218529.6</v>
      </c>
    </row>
    <row r="32" spans="1:11">
      <c r="A32" s="38" t="s">
        <v>105</v>
      </c>
      <c r="B32" s="41">
        <v>746917</v>
      </c>
    </row>
    <row r="33" spans="1:7">
      <c r="A33" s="38" t="s">
        <v>106</v>
      </c>
      <c r="B33" s="41">
        <v>41896.6</v>
      </c>
      <c r="C33" s="16">
        <f>SUM(B30:B33)</f>
        <v>1424535.7000000002</v>
      </c>
    </row>
    <row r="34" spans="1:7">
      <c r="A34" s="38" t="s">
        <v>108</v>
      </c>
      <c r="B34" s="41">
        <v>43135</v>
      </c>
    </row>
    <row r="35" spans="1:7">
      <c r="A35" s="38" t="s">
        <v>109</v>
      </c>
      <c r="B35" s="41">
        <v>37562</v>
      </c>
    </row>
    <row r="36" spans="1:7">
      <c r="A36" s="38" t="s">
        <v>111</v>
      </c>
      <c r="B36" s="41">
        <v>236713</v>
      </c>
    </row>
    <row r="37" spans="1:7">
      <c r="A37" s="38" t="s">
        <v>113</v>
      </c>
      <c r="B37" s="41">
        <v>1172005</v>
      </c>
    </row>
    <row r="38" spans="1:7">
      <c r="A38" s="38" t="s">
        <v>114</v>
      </c>
      <c r="B38" s="41">
        <v>26219</v>
      </c>
    </row>
    <row r="39" spans="1:7">
      <c r="A39" s="38" t="s">
        <v>115</v>
      </c>
      <c r="B39" s="41">
        <v>188823</v>
      </c>
    </row>
    <row r="40" spans="1:7" ht="17.25">
      <c r="A40" s="38" t="s">
        <v>116</v>
      </c>
      <c r="B40" s="50">
        <v>514927</v>
      </c>
      <c r="C40" s="16">
        <f>SUM(B34:B40)</f>
        <v>2219384</v>
      </c>
    </row>
    <row r="41" spans="1:7">
      <c r="A41" t="s">
        <v>122</v>
      </c>
      <c r="B41" s="16">
        <f>SUM(B30:B40)</f>
        <v>3643919.7</v>
      </c>
      <c r="C41" s="16">
        <f>C10+B41</f>
        <v>4977869.4000000004</v>
      </c>
    </row>
    <row r="42" spans="1:7" ht="17.25">
      <c r="A42" t="s">
        <v>123</v>
      </c>
      <c r="B42" s="61">
        <f>F63</f>
        <v>4.6436306121080122</v>
      </c>
      <c r="C42" s="16"/>
    </row>
    <row r="43" spans="1:7">
      <c r="B43" s="20">
        <f>B41*B42</f>
        <v>16921017.066983446</v>
      </c>
    </row>
    <row r="44" spans="1:7">
      <c r="A44" s="58" t="s">
        <v>119</v>
      </c>
      <c r="B44" s="59">
        <v>1.6299999999999999E-2</v>
      </c>
    </row>
    <row r="45" spans="1:7">
      <c r="A45" t="s">
        <v>120</v>
      </c>
      <c r="B45" s="56">
        <f>B43*B44</f>
        <v>275812.57819183014</v>
      </c>
    </row>
    <row r="46" spans="1:7">
      <c r="B46" s="20"/>
      <c r="C46" s="20">
        <f>+B27+B45</f>
        <v>582509.68407393014</v>
      </c>
      <c r="D46" s="20"/>
    </row>
    <row r="47" spans="1:7">
      <c r="A47" s="62"/>
      <c r="B47" s="37" t="s">
        <v>124</v>
      </c>
    </row>
    <row r="48" spans="1:7">
      <c r="A48" s="62"/>
      <c r="B48" s="37" t="s">
        <v>29</v>
      </c>
      <c r="C48" s="37" t="s">
        <v>125</v>
      </c>
      <c r="D48" s="37"/>
      <c r="E48" s="37" t="s">
        <v>29</v>
      </c>
      <c r="F48" s="37" t="s">
        <v>126</v>
      </c>
      <c r="G48" s="34"/>
    </row>
    <row r="49" spans="1:8">
      <c r="A49" s="62"/>
      <c r="B49" s="37" t="s">
        <v>127</v>
      </c>
      <c r="C49" s="37" t="s">
        <v>128</v>
      </c>
      <c r="D49" s="37" t="s">
        <v>129</v>
      </c>
      <c r="E49" s="37" t="s">
        <v>127</v>
      </c>
      <c r="F49" s="37" t="s">
        <v>128</v>
      </c>
      <c r="G49" s="34"/>
    </row>
    <row r="50" spans="1:8">
      <c r="A50" s="63" t="s">
        <v>130</v>
      </c>
      <c r="B50" s="64" t="s">
        <v>131</v>
      </c>
      <c r="C50" s="64" t="s">
        <v>132</v>
      </c>
      <c r="D50" s="64" t="s">
        <v>132</v>
      </c>
      <c r="E50" s="64" t="s">
        <v>132</v>
      </c>
      <c r="F50" s="64" t="s">
        <v>132</v>
      </c>
      <c r="G50" s="34"/>
    </row>
    <row r="51" spans="1:8">
      <c r="A51" s="62" t="s">
        <v>133</v>
      </c>
      <c r="B51" s="65">
        <v>268812.43645436404</v>
      </c>
      <c r="C51" s="66">
        <v>903080.41727792483</v>
      </c>
      <c r="D51" s="65">
        <v>218460.57</v>
      </c>
      <c r="E51" s="65">
        <f t="shared" ref="E51:E62" si="0">SUM(C51:D51)</f>
        <v>1121540.9872779248</v>
      </c>
      <c r="F51" s="62"/>
      <c r="G51" s="67"/>
    </row>
    <row r="52" spans="1:8">
      <c r="A52" s="62" t="s">
        <v>41</v>
      </c>
      <c r="B52" s="65">
        <v>244191.71813592233</v>
      </c>
      <c r="C52" s="66">
        <v>820584.75219569297</v>
      </c>
      <c r="D52" s="65">
        <v>216056.95999999999</v>
      </c>
      <c r="E52" s="65">
        <f t="shared" si="0"/>
        <v>1036641.7121956929</v>
      </c>
      <c r="F52" s="62"/>
    </row>
    <row r="53" spans="1:8">
      <c r="A53" s="62" t="s">
        <v>42</v>
      </c>
      <c r="B53" s="65">
        <v>245053.36082319217</v>
      </c>
      <c r="C53" s="66">
        <v>768583.27187650232</v>
      </c>
      <c r="D53" s="65">
        <v>23012.510000000009</v>
      </c>
      <c r="E53" s="65">
        <f t="shared" si="0"/>
        <v>791595.78187650233</v>
      </c>
      <c r="F53" s="62"/>
    </row>
    <row r="54" spans="1:8">
      <c r="A54" s="62" t="s">
        <v>43</v>
      </c>
      <c r="B54" s="65">
        <v>180164.32288485381</v>
      </c>
      <c r="C54" s="66">
        <v>638718.89897077845</v>
      </c>
      <c r="D54" s="65">
        <v>181366.11</v>
      </c>
      <c r="E54" s="65">
        <f t="shared" si="0"/>
        <v>820085.00897077844</v>
      </c>
      <c r="F54" s="62"/>
    </row>
    <row r="55" spans="1:8">
      <c r="A55" s="62" t="s">
        <v>44</v>
      </c>
      <c r="B55" s="65">
        <v>67281.616198654505</v>
      </c>
      <c r="C55" s="66">
        <v>255226.36495882319</v>
      </c>
      <c r="D55" s="65">
        <v>196813.36</v>
      </c>
      <c r="E55" s="65">
        <f t="shared" si="0"/>
        <v>452039.72495882318</v>
      </c>
      <c r="F55" s="62"/>
    </row>
    <row r="56" spans="1:8">
      <c r="A56" s="62" t="s">
        <v>45</v>
      </c>
      <c r="B56" s="65">
        <v>3083.9398118125682</v>
      </c>
      <c r="C56" s="66">
        <v>12036.606814168161</v>
      </c>
      <c r="D56" s="65">
        <v>194976.50000000003</v>
      </c>
      <c r="E56" s="65">
        <f t="shared" si="0"/>
        <v>207013.10681416819</v>
      </c>
      <c r="F56" s="62"/>
    </row>
    <row r="57" spans="1:8">
      <c r="A57" s="62" t="s">
        <v>46</v>
      </c>
      <c r="B57" s="65">
        <v>7860.2541859435296</v>
      </c>
      <c r="C57" s="66">
        <v>24877.766057158296</v>
      </c>
      <c r="D57" s="65">
        <v>194747.84999999998</v>
      </c>
      <c r="E57" s="65">
        <f t="shared" si="0"/>
        <v>219625.61605715827</v>
      </c>
      <c r="F57" s="62"/>
    </row>
    <row r="58" spans="1:8">
      <c r="A58" s="62" t="s">
        <v>47</v>
      </c>
      <c r="B58" s="65">
        <v>11180.480017389025</v>
      </c>
      <c r="C58" s="66">
        <v>40892.680711601162</v>
      </c>
      <c r="D58" s="65">
        <v>182648.24999999997</v>
      </c>
      <c r="E58" s="65">
        <f t="shared" si="0"/>
        <v>223540.93071160113</v>
      </c>
      <c r="F58" s="62"/>
    </row>
    <row r="59" spans="1:8">
      <c r="A59" s="62" t="s">
        <v>48</v>
      </c>
      <c r="B59" s="65">
        <v>37318.318074988551</v>
      </c>
      <c r="C59" s="66">
        <v>103659.36458237621</v>
      </c>
      <c r="D59" s="65">
        <v>179831.67999999999</v>
      </c>
      <c r="E59" s="65">
        <f t="shared" si="0"/>
        <v>283491.0445823762</v>
      </c>
      <c r="F59" s="62"/>
    </row>
    <row r="60" spans="1:8">
      <c r="A60" s="62" t="s">
        <v>49</v>
      </c>
      <c r="B60" s="65">
        <v>100367.67034872776</v>
      </c>
      <c r="C60" s="66">
        <v>316811.25754593022</v>
      </c>
      <c r="D60" s="65">
        <v>180222.8</v>
      </c>
      <c r="E60" s="65">
        <f t="shared" si="0"/>
        <v>497034.05754593021</v>
      </c>
      <c r="F60" s="62"/>
    </row>
    <row r="61" spans="1:8">
      <c r="A61" s="62" t="s">
        <v>50</v>
      </c>
      <c r="B61" s="65">
        <v>203807.84053438212</v>
      </c>
      <c r="C61" s="66">
        <v>648731.60826013447</v>
      </c>
      <c r="D61" s="65">
        <v>222098.95</v>
      </c>
      <c r="E61" s="65">
        <f t="shared" si="0"/>
        <v>870830.55826013442</v>
      </c>
      <c r="F61" s="62"/>
    </row>
    <row r="62" spans="1:8">
      <c r="A62" s="62" t="s">
        <v>134</v>
      </c>
      <c r="B62" s="68">
        <v>288770.83988147054</v>
      </c>
      <c r="C62" s="69">
        <v>946344.80612465518</v>
      </c>
      <c r="D62" s="68">
        <v>228858.40999999997</v>
      </c>
      <c r="E62" s="68">
        <f t="shared" si="0"/>
        <v>1175203.2161246552</v>
      </c>
      <c r="F62" s="62"/>
    </row>
    <row r="63" spans="1:8">
      <c r="A63" s="62"/>
      <c r="B63" s="55">
        <f>SUM(B51:B62)</f>
        <v>1657892.7973517012</v>
      </c>
      <c r="C63" s="55">
        <f>SUM(C51:C62)</f>
        <v>5479547.7953757467</v>
      </c>
      <c r="D63" s="55">
        <f>SUM(D51:D62)</f>
        <v>2219093.9499999997</v>
      </c>
      <c r="E63" s="55">
        <f>SUM(E51:E62)</f>
        <v>7698641.745375745</v>
      </c>
      <c r="F63" s="49">
        <f>E63/B63</f>
        <v>4.6436306121080122</v>
      </c>
    </row>
    <row r="64" spans="1:8">
      <c r="G64" s="70"/>
      <c r="H64" s="20"/>
    </row>
  </sheetData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PSC7- Corning</vt:lpstr>
      <vt:lpstr>TSA Rate </vt:lpstr>
      <vt:lpstr>2014-2015 TaxYear Based on 2013</vt:lpstr>
      <vt:lpstr>'TSA Rate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n025us</cp:lastModifiedBy>
  <cp:lastPrinted>2014-06-26T16:09:16Z</cp:lastPrinted>
  <dcterms:created xsi:type="dcterms:W3CDTF">2009-06-30T17:09:14Z</dcterms:created>
  <dcterms:modified xsi:type="dcterms:W3CDTF">2014-09-02T13:47:21Z</dcterms:modified>
</cp:coreProperties>
</file>