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0" windowWidth="28650" windowHeight="12930" tabRatio="683"/>
  </bookViews>
  <sheets>
    <sheet name="SBDI" sheetId="17" r:id="rId1"/>
    <sheet name="HVAC Electric" sheetId="15" r:id="rId2"/>
    <sheet name="HVAC Gas" sheetId="14" r:id="rId3"/>
    <sheet name="Residential Direct Install" sheetId="13" r:id="rId4"/>
    <sheet name="Appliance Bounty" sheetId="12" r:id="rId5"/>
    <sheet name="Room AC" sheetId="11" r:id="rId6"/>
    <sheet name="CI Electric Rebate" sheetId="7" r:id="rId7"/>
    <sheet name="CI Electric Custom" sheetId="8" r:id="rId8"/>
    <sheet name="CI Gas Rebate" sheetId="9" r:id="rId9"/>
    <sheet name="CI Gas Custom" sheetId="10" r:id="rId10"/>
    <sheet name="MF Electric" sheetId="5" r:id="rId11"/>
    <sheet name="MF Gas" sheetId="6" r:id="rId12"/>
    <sheet name="MFLI" sheetId="16" r:id="rId13"/>
  </sheets>
  <definedNames>
    <definedName name="_xlnm.Print_Area" localSheetId="4">'Appliance Bounty'!$A$1:$B$85</definedName>
    <definedName name="_xlnm.Print_Area" localSheetId="6">'CI Electric Rebate'!$A$1:$B$85</definedName>
    <definedName name="_xlnm.Print_Area" localSheetId="8">'CI Gas Rebate'!$A$1:$B$85</definedName>
    <definedName name="_xlnm.Print_Area" localSheetId="1">'HVAC Electric'!$A$1:$B$85</definedName>
    <definedName name="_xlnm.Print_Area" localSheetId="2">'HVAC Gas'!$A$1:$B$85</definedName>
    <definedName name="_xlnm.Print_Area" localSheetId="10">'MF Electric'!$A$1:$B$85</definedName>
    <definedName name="_xlnm.Print_Area" localSheetId="11">'MF Gas'!$A$1:$B$85</definedName>
    <definedName name="_xlnm.Print_Area" localSheetId="12">MFLI!$A$1:$B$85</definedName>
    <definedName name="_xlnm.Print_Area" localSheetId="3">'Residential Direct Install'!$A$1:$B$85</definedName>
    <definedName name="_xlnm.Print_Area" localSheetId="5">'Room AC'!$A$1:$B$85</definedName>
    <definedName name="_xlnm.Print_Area" localSheetId="0">SBDI!$A$1:$B$85</definedName>
  </definedNames>
  <calcPr calcId="125725"/>
</workbook>
</file>

<file path=xl/calcChain.xml><?xml version="1.0" encoding="utf-8"?>
<calcChain xmlns="http://schemas.openxmlformats.org/spreadsheetml/2006/main">
  <c r="P75" i="7"/>
  <c r="O75"/>
  <c r="M75"/>
  <c r="L75"/>
  <c r="H75"/>
  <c r="P75" i="11"/>
  <c r="O75"/>
  <c r="M75"/>
  <c r="L75"/>
  <c r="H75"/>
  <c r="P75" i="12"/>
  <c r="O75"/>
  <c r="M75"/>
  <c r="L75"/>
  <c r="H75"/>
  <c r="P75" i="13"/>
  <c r="O75"/>
  <c r="M75"/>
  <c r="L75"/>
  <c r="H75"/>
  <c r="P75" i="14"/>
  <c r="O75"/>
  <c r="M75"/>
  <c r="L75"/>
  <c r="H75"/>
  <c r="P75" i="15"/>
  <c r="O75"/>
  <c r="M75"/>
  <c r="L75"/>
  <c r="H75"/>
  <c r="P75" i="17"/>
  <c r="O75"/>
  <c r="M75"/>
  <c r="L75"/>
  <c r="H75"/>
  <c r="H75" i="16"/>
  <c r="I75" s="1"/>
  <c r="P75"/>
  <c r="O75"/>
  <c r="M75"/>
  <c r="L75"/>
  <c r="B75"/>
  <c r="P75" i="6"/>
  <c r="O75"/>
  <c r="M75"/>
  <c r="L75"/>
  <c r="J75"/>
  <c r="I75"/>
  <c r="B75"/>
  <c r="P75" i="5"/>
  <c r="O75"/>
  <c r="M75"/>
  <c r="L75"/>
  <c r="J75"/>
  <c r="I75"/>
  <c r="B75"/>
  <c r="I75" i="7" l="1"/>
  <c r="J75" s="1"/>
  <c r="B75"/>
  <c r="I75" i="11"/>
  <c r="B75"/>
  <c r="I75" i="12"/>
  <c r="J75" s="1"/>
  <c r="B75"/>
  <c r="I75" i="13"/>
  <c r="J75" s="1"/>
  <c r="B75"/>
  <c r="I75" i="14"/>
  <c r="J75" s="1"/>
  <c r="B75"/>
  <c r="I75" i="15"/>
  <c r="J75" s="1"/>
  <c r="B75"/>
  <c r="I75" i="17"/>
  <c r="J75" s="1"/>
  <c r="B75"/>
  <c r="P75" i="10" l="1"/>
  <c r="O75"/>
  <c r="M75"/>
  <c r="L75"/>
  <c r="B75" i="9" l="1"/>
  <c r="P75"/>
  <c r="O75"/>
  <c r="M75"/>
  <c r="L75"/>
  <c r="H75"/>
  <c r="B75" i="8"/>
  <c r="P75"/>
  <c r="O75"/>
  <c r="M75"/>
  <c r="L75"/>
  <c r="H75"/>
  <c r="I75" s="1"/>
  <c r="J75" s="1"/>
  <c r="I75" i="9" l="1"/>
  <c r="J75"/>
  <c r="R39" i="7" l="1"/>
  <c r="H74" i="11" l="1"/>
  <c r="H74" i="16" l="1"/>
  <c r="H74" i="9" l="1"/>
  <c r="H74" i="7"/>
  <c r="H74" i="12" l="1"/>
  <c r="H74" i="13" l="1"/>
  <c r="H74" i="14" l="1"/>
  <c r="H74" i="15"/>
  <c r="H74" i="17" l="1"/>
  <c r="G74" i="16"/>
  <c r="F74"/>
  <c r="G74" i="5"/>
  <c r="H74" s="1"/>
  <c r="G74" i="6"/>
  <c r="H74" s="1"/>
  <c r="G74" i="11"/>
  <c r="F74"/>
  <c r="G74" i="12"/>
  <c r="F74"/>
  <c r="G74" i="13"/>
  <c r="F74"/>
  <c r="G74" i="14"/>
  <c r="F74"/>
  <c r="G74" i="15"/>
  <c r="F74"/>
  <c r="F74" i="17"/>
  <c r="G74" s="1"/>
  <c r="B74" s="1"/>
  <c r="G74" i="10"/>
  <c r="G71" i="17"/>
  <c r="G25"/>
  <c r="G18"/>
  <c r="G12"/>
  <c r="G17" i="15"/>
  <c r="F20"/>
  <c r="F11" i="12"/>
  <c r="F11" i="13"/>
  <c r="B11" i="17"/>
  <c r="R11"/>
  <c r="B12"/>
  <c r="F12"/>
  <c r="R12"/>
  <c r="R13"/>
  <c r="F15"/>
  <c r="G15"/>
  <c r="B15" s="1"/>
  <c r="H15"/>
  <c r="I15"/>
  <c r="I16" s="1"/>
  <c r="J15"/>
  <c r="J16" s="1"/>
  <c r="K15"/>
  <c r="K16"/>
  <c r="L15"/>
  <c r="M15"/>
  <c r="M16" s="1"/>
  <c r="N15"/>
  <c r="N16" s="1"/>
  <c r="O15"/>
  <c r="O16"/>
  <c r="P15"/>
  <c r="Q15"/>
  <c r="Q16" s="1"/>
  <c r="F16"/>
  <c r="H16"/>
  <c r="L16"/>
  <c r="P16"/>
  <c r="F17"/>
  <c r="G17" s="1"/>
  <c r="F18"/>
  <c r="B18"/>
  <c r="F20"/>
  <c r="F24"/>
  <c r="B25"/>
  <c r="F25"/>
  <c r="B28"/>
  <c r="G28"/>
  <c r="H28"/>
  <c r="I28" s="1"/>
  <c r="B29"/>
  <c r="B32"/>
  <c r="R32"/>
  <c r="B33"/>
  <c r="R33"/>
  <c r="B34"/>
  <c r="R34"/>
  <c r="B35"/>
  <c r="R35"/>
  <c r="B36"/>
  <c r="R36"/>
  <c r="B37"/>
  <c r="R37"/>
  <c r="B38"/>
  <c r="R38"/>
  <c r="B39"/>
  <c r="F40"/>
  <c r="G40"/>
  <c r="H40"/>
  <c r="I40"/>
  <c r="J40"/>
  <c r="K40"/>
  <c r="L40"/>
  <c r="M40"/>
  <c r="N40"/>
  <c r="O40"/>
  <c r="P40"/>
  <c r="Q40"/>
  <c r="B42"/>
  <c r="B43"/>
  <c r="B44"/>
  <c r="B45"/>
  <c r="B46"/>
  <c r="B47"/>
  <c r="B48"/>
  <c r="B49"/>
  <c r="F51"/>
  <c r="F52" s="1"/>
  <c r="G51"/>
  <c r="H51"/>
  <c r="H52"/>
  <c r="I51"/>
  <c r="J51"/>
  <c r="J52" s="1"/>
  <c r="K51"/>
  <c r="L51"/>
  <c r="L52"/>
  <c r="M51"/>
  <c r="N51"/>
  <c r="N52" s="1"/>
  <c r="O51"/>
  <c r="P51"/>
  <c r="P52"/>
  <c r="Q51"/>
  <c r="G52"/>
  <c r="I52"/>
  <c r="K52"/>
  <c r="M52"/>
  <c r="O52"/>
  <c r="Q52"/>
  <c r="F53"/>
  <c r="F55" s="1"/>
  <c r="F57" s="1"/>
  <c r="F54"/>
  <c r="G54"/>
  <c r="H54"/>
  <c r="I54"/>
  <c r="J54"/>
  <c r="K54"/>
  <c r="L54"/>
  <c r="M54"/>
  <c r="N54"/>
  <c r="O54"/>
  <c r="P54"/>
  <c r="Q54"/>
  <c r="F60"/>
  <c r="B60"/>
  <c r="G60"/>
  <c r="H60"/>
  <c r="I60"/>
  <c r="J60"/>
  <c r="K60"/>
  <c r="L60"/>
  <c r="M60"/>
  <c r="N60"/>
  <c r="O60"/>
  <c r="P60"/>
  <c r="Q60"/>
  <c r="F61"/>
  <c r="F62" s="1"/>
  <c r="F64" s="1"/>
  <c r="B66"/>
  <c r="B67"/>
  <c r="B68"/>
  <c r="B69"/>
  <c r="B71"/>
  <c r="F71"/>
  <c r="B72"/>
  <c r="I74"/>
  <c r="L74"/>
  <c r="M74"/>
  <c r="O74"/>
  <c r="P74"/>
  <c r="A79"/>
  <c r="A81"/>
  <c r="A83"/>
  <c r="A85"/>
  <c r="B40"/>
  <c r="B52"/>
  <c r="H30"/>
  <c r="G53"/>
  <c r="G58" s="1"/>
  <c r="B51"/>
  <c r="G30"/>
  <c r="B30" s="1"/>
  <c r="G24"/>
  <c r="B24" s="1"/>
  <c r="F56"/>
  <c r="F26"/>
  <c r="G55"/>
  <c r="G57" s="1"/>
  <c r="H24"/>
  <c r="G26"/>
  <c r="B26" s="1"/>
  <c r="I24"/>
  <c r="J24" s="1"/>
  <c r="H26"/>
  <c r="B11" i="16"/>
  <c r="R11"/>
  <c r="B12"/>
  <c r="R12"/>
  <c r="B13"/>
  <c r="R13"/>
  <c r="B15"/>
  <c r="F15"/>
  <c r="G15"/>
  <c r="G16"/>
  <c r="G22"/>
  <c r="H15"/>
  <c r="I15"/>
  <c r="I16"/>
  <c r="J15"/>
  <c r="K15"/>
  <c r="K16"/>
  <c r="L15"/>
  <c r="M15"/>
  <c r="M16"/>
  <c r="N15"/>
  <c r="O15"/>
  <c r="O16"/>
  <c r="P15"/>
  <c r="Q15"/>
  <c r="Q16"/>
  <c r="F16"/>
  <c r="B16"/>
  <c r="H16"/>
  <c r="J16"/>
  <c r="L16"/>
  <c r="N16"/>
  <c r="P16"/>
  <c r="F17"/>
  <c r="G17"/>
  <c r="H17"/>
  <c r="B17" s="1"/>
  <c r="B18"/>
  <c r="F19"/>
  <c r="F21"/>
  <c r="G19"/>
  <c r="F20"/>
  <c r="G21"/>
  <c r="F22"/>
  <c r="F24"/>
  <c r="F26"/>
  <c r="G24"/>
  <c r="H24"/>
  <c r="B24" s="1"/>
  <c r="B25"/>
  <c r="G26"/>
  <c r="F28"/>
  <c r="G28"/>
  <c r="B29"/>
  <c r="F30"/>
  <c r="B32"/>
  <c r="R32"/>
  <c r="B33"/>
  <c r="R33"/>
  <c r="B34"/>
  <c r="R34"/>
  <c r="B35"/>
  <c r="R35"/>
  <c r="B36"/>
  <c r="R36"/>
  <c r="B37"/>
  <c r="R37"/>
  <c r="B38"/>
  <c r="R38"/>
  <c r="B39"/>
  <c r="R39"/>
  <c r="F40"/>
  <c r="G40"/>
  <c r="H40"/>
  <c r="B40" s="1"/>
  <c r="I40"/>
  <c r="J40"/>
  <c r="K40"/>
  <c r="L40"/>
  <c r="M40"/>
  <c r="N40"/>
  <c r="O40"/>
  <c r="P40"/>
  <c r="Q40"/>
  <c r="B42"/>
  <c r="B43"/>
  <c r="B44"/>
  <c r="B45"/>
  <c r="B46"/>
  <c r="B47"/>
  <c r="B48"/>
  <c r="B49"/>
  <c r="B51"/>
  <c r="F51"/>
  <c r="G51"/>
  <c r="G52"/>
  <c r="H51"/>
  <c r="I51"/>
  <c r="I52"/>
  <c r="J51"/>
  <c r="K51"/>
  <c r="K52"/>
  <c r="L51"/>
  <c r="M51"/>
  <c r="M52"/>
  <c r="N51"/>
  <c r="O51"/>
  <c r="O52"/>
  <c r="P51"/>
  <c r="Q51"/>
  <c r="Q52"/>
  <c r="F52"/>
  <c r="B52"/>
  <c r="H52"/>
  <c r="J52"/>
  <c r="L52"/>
  <c r="N52"/>
  <c r="P52"/>
  <c r="F53"/>
  <c r="F58" s="1"/>
  <c r="F54"/>
  <c r="G54"/>
  <c r="H54"/>
  <c r="I54"/>
  <c r="J54"/>
  <c r="K54"/>
  <c r="L54"/>
  <c r="M54"/>
  <c r="N54"/>
  <c r="O54"/>
  <c r="P54"/>
  <c r="Q54"/>
  <c r="B60"/>
  <c r="F60"/>
  <c r="G60"/>
  <c r="H60"/>
  <c r="I60"/>
  <c r="J60"/>
  <c r="K60"/>
  <c r="L60"/>
  <c r="M60"/>
  <c r="N60"/>
  <c r="O60"/>
  <c r="P60"/>
  <c r="Q60"/>
  <c r="F61"/>
  <c r="F63" s="1"/>
  <c r="B66"/>
  <c r="B67"/>
  <c r="B68"/>
  <c r="B69"/>
  <c r="B71"/>
  <c r="B72"/>
  <c r="B74"/>
  <c r="I74"/>
  <c r="L74"/>
  <c r="M74"/>
  <c r="O74"/>
  <c r="P74"/>
  <c r="A79"/>
  <c r="A81"/>
  <c r="A83"/>
  <c r="A85"/>
  <c r="G53"/>
  <c r="H20"/>
  <c r="B20" s="1"/>
  <c r="H19"/>
  <c r="B19" s="1"/>
  <c r="I17"/>
  <c r="I19" s="1"/>
  <c r="I21" s="1"/>
  <c r="H22"/>
  <c r="B22" s="1"/>
  <c r="G30"/>
  <c r="H28"/>
  <c r="B28" s="1"/>
  <c r="H26"/>
  <c r="B26" s="1"/>
  <c r="I24"/>
  <c r="I26" s="1"/>
  <c r="B54"/>
  <c r="G20"/>
  <c r="H30"/>
  <c r="B30" s="1"/>
  <c r="I20"/>
  <c r="J17"/>
  <c r="J22" s="1"/>
  <c r="I22"/>
  <c r="J19"/>
  <c r="J21" s="1"/>
  <c r="K17"/>
  <c r="K22" s="1"/>
  <c r="J20"/>
  <c r="L17"/>
  <c r="L20" s="1"/>
  <c r="K20"/>
  <c r="L19"/>
  <c r="L21" s="1"/>
  <c r="B11" i="15"/>
  <c r="R11"/>
  <c r="B12"/>
  <c r="R12"/>
  <c r="B13"/>
  <c r="R13"/>
  <c r="B15"/>
  <c r="F15"/>
  <c r="G15"/>
  <c r="G16"/>
  <c r="G22"/>
  <c r="H15"/>
  <c r="I15"/>
  <c r="I16"/>
  <c r="J15"/>
  <c r="K15"/>
  <c r="K16"/>
  <c r="L15"/>
  <c r="M15"/>
  <c r="M16"/>
  <c r="N15"/>
  <c r="O15"/>
  <c r="O16"/>
  <c r="P15"/>
  <c r="Q15"/>
  <c r="Q16"/>
  <c r="F16"/>
  <c r="B16"/>
  <c r="H16"/>
  <c r="J16"/>
  <c r="L16"/>
  <c r="N16"/>
  <c r="P16"/>
  <c r="F17"/>
  <c r="H17"/>
  <c r="B17" s="1"/>
  <c r="B18"/>
  <c r="F19"/>
  <c r="F21"/>
  <c r="G19"/>
  <c r="G21"/>
  <c r="F22"/>
  <c r="B24"/>
  <c r="F24"/>
  <c r="F26"/>
  <c r="G24"/>
  <c r="H24"/>
  <c r="B25"/>
  <c r="G26"/>
  <c r="F28"/>
  <c r="G28"/>
  <c r="B29"/>
  <c r="F30"/>
  <c r="B32"/>
  <c r="R32"/>
  <c r="B33"/>
  <c r="R33"/>
  <c r="B34"/>
  <c r="R34"/>
  <c r="B35"/>
  <c r="R35"/>
  <c r="B36"/>
  <c r="R36"/>
  <c r="B37"/>
  <c r="R37"/>
  <c r="B38"/>
  <c r="R38"/>
  <c r="B39"/>
  <c r="F40"/>
  <c r="G40"/>
  <c r="H40"/>
  <c r="I40"/>
  <c r="R40" s="1"/>
  <c r="J40"/>
  <c r="K40"/>
  <c r="L40"/>
  <c r="M40"/>
  <c r="N40"/>
  <c r="O40"/>
  <c r="P40"/>
  <c r="Q40"/>
  <c r="B42"/>
  <c r="B43"/>
  <c r="B44"/>
  <c r="B45"/>
  <c r="B46"/>
  <c r="B47"/>
  <c r="B48"/>
  <c r="B49"/>
  <c r="F51"/>
  <c r="F52"/>
  <c r="B52"/>
  <c r="G51"/>
  <c r="H51"/>
  <c r="H52"/>
  <c r="I51"/>
  <c r="J51"/>
  <c r="J52"/>
  <c r="K51"/>
  <c r="L51"/>
  <c r="L52"/>
  <c r="M51"/>
  <c r="N51"/>
  <c r="N52"/>
  <c r="O51"/>
  <c r="P51"/>
  <c r="P52"/>
  <c r="Q51"/>
  <c r="G52"/>
  <c r="I52"/>
  <c r="K52"/>
  <c r="M52"/>
  <c r="O52"/>
  <c r="Q52"/>
  <c r="F53"/>
  <c r="F54"/>
  <c r="G54"/>
  <c r="H54"/>
  <c r="I54"/>
  <c r="J54"/>
  <c r="K54"/>
  <c r="L54"/>
  <c r="M54"/>
  <c r="N54"/>
  <c r="O54"/>
  <c r="P54"/>
  <c r="Q54"/>
  <c r="F60"/>
  <c r="B60"/>
  <c r="G60"/>
  <c r="H60"/>
  <c r="I60"/>
  <c r="J60"/>
  <c r="K60"/>
  <c r="L60"/>
  <c r="M60"/>
  <c r="N60"/>
  <c r="O60"/>
  <c r="P60"/>
  <c r="Q60"/>
  <c r="B66"/>
  <c r="B67"/>
  <c r="B68"/>
  <c r="B69"/>
  <c r="B71"/>
  <c r="B72"/>
  <c r="B74"/>
  <c r="I74"/>
  <c r="L74"/>
  <c r="M74"/>
  <c r="O74"/>
  <c r="P74"/>
  <c r="A79"/>
  <c r="A81"/>
  <c r="A83"/>
  <c r="A85"/>
  <c r="B11" i="14"/>
  <c r="R11"/>
  <c r="B12"/>
  <c r="R12"/>
  <c r="B13"/>
  <c r="R13"/>
  <c r="F15"/>
  <c r="F16"/>
  <c r="G15"/>
  <c r="H15"/>
  <c r="H16"/>
  <c r="I15"/>
  <c r="J15"/>
  <c r="J16"/>
  <c r="K15"/>
  <c r="L15"/>
  <c r="L16"/>
  <c r="M15"/>
  <c r="N15"/>
  <c r="N16"/>
  <c r="O15"/>
  <c r="P15"/>
  <c r="P16"/>
  <c r="Q15"/>
  <c r="G16"/>
  <c r="I16"/>
  <c r="K16"/>
  <c r="M16"/>
  <c r="O16"/>
  <c r="Q16"/>
  <c r="F17"/>
  <c r="B18"/>
  <c r="F19"/>
  <c r="F21"/>
  <c r="F24"/>
  <c r="G24"/>
  <c r="B25"/>
  <c r="F26"/>
  <c r="F28"/>
  <c r="G28"/>
  <c r="H28"/>
  <c r="B29"/>
  <c r="F30"/>
  <c r="G30"/>
  <c r="B30"/>
  <c r="B32"/>
  <c r="R32"/>
  <c r="B33"/>
  <c r="R33"/>
  <c r="B34"/>
  <c r="R34"/>
  <c r="B35"/>
  <c r="R35"/>
  <c r="B36"/>
  <c r="R36"/>
  <c r="B37"/>
  <c r="R37"/>
  <c r="B38"/>
  <c r="R38"/>
  <c r="B39"/>
  <c r="R39"/>
  <c r="F40"/>
  <c r="G40"/>
  <c r="H40"/>
  <c r="B40" s="1"/>
  <c r="I40"/>
  <c r="J40"/>
  <c r="K40"/>
  <c r="L40"/>
  <c r="M40"/>
  <c r="N40"/>
  <c r="O40"/>
  <c r="P40"/>
  <c r="Q40"/>
  <c r="R40"/>
  <c r="B42"/>
  <c r="B43"/>
  <c r="B44"/>
  <c r="B45"/>
  <c r="B46"/>
  <c r="B47"/>
  <c r="B48"/>
  <c r="B49"/>
  <c r="B51"/>
  <c r="F51"/>
  <c r="G51"/>
  <c r="H51"/>
  <c r="I51"/>
  <c r="J51"/>
  <c r="K51"/>
  <c r="L51"/>
  <c r="M51"/>
  <c r="N51"/>
  <c r="O51"/>
  <c r="P51"/>
  <c r="Q51"/>
  <c r="B52"/>
  <c r="F52"/>
  <c r="G52"/>
  <c r="H52"/>
  <c r="I52"/>
  <c r="J52"/>
  <c r="K52"/>
  <c r="L52"/>
  <c r="M52"/>
  <c r="N52"/>
  <c r="O52"/>
  <c r="P52"/>
  <c r="Q52"/>
  <c r="F53"/>
  <c r="F54"/>
  <c r="G54"/>
  <c r="H54"/>
  <c r="I54"/>
  <c r="J54"/>
  <c r="K54"/>
  <c r="L54"/>
  <c r="M54"/>
  <c r="N54"/>
  <c r="O54"/>
  <c r="P54"/>
  <c r="Q54"/>
  <c r="F56"/>
  <c r="F58"/>
  <c r="F60"/>
  <c r="B60"/>
  <c r="G60"/>
  <c r="H60"/>
  <c r="I60"/>
  <c r="J60"/>
  <c r="K60"/>
  <c r="L60"/>
  <c r="M60"/>
  <c r="N60"/>
  <c r="O60"/>
  <c r="P60"/>
  <c r="Q60"/>
  <c r="B66"/>
  <c r="B67"/>
  <c r="B68"/>
  <c r="B69"/>
  <c r="B71"/>
  <c r="B72"/>
  <c r="B74"/>
  <c r="I74"/>
  <c r="L74"/>
  <c r="M74"/>
  <c r="O74"/>
  <c r="P74"/>
  <c r="A79"/>
  <c r="A81"/>
  <c r="A83"/>
  <c r="A85"/>
  <c r="B28"/>
  <c r="F61" i="15"/>
  <c r="F55"/>
  <c r="G53" i="14"/>
  <c r="H53"/>
  <c r="I53" s="1"/>
  <c r="F61"/>
  <c r="F55"/>
  <c r="B16"/>
  <c r="F22"/>
  <c r="G30" i="15"/>
  <c r="H28"/>
  <c r="H26"/>
  <c r="B26" s="1"/>
  <c r="I24"/>
  <c r="J24" s="1"/>
  <c r="G26" i="14"/>
  <c r="H24"/>
  <c r="H30"/>
  <c r="I28"/>
  <c r="H20" i="15"/>
  <c r="B20" s="1"/>
  <c r="H19"/>
  <c r="H21" s="1"/>
  <c r="B21" s="1"/>
  <c r="I17"/>
  <c r="I19" s="1"/>
  <c r="I21" s="1"/>
  <c r="H22"/>
  <c r="B22" s="1"/>
  <c r="B24" i="14"/>
  <c r="G17"/>
  <c r="B17"/>
  <c r="B15"/>
  <c r="F63" i="15"/>
  <c r="F58"/>
  <c r="G53"/>
  <c r="G55" s="1"/>
  <c r="B51"/>
  <c r="G20"/>
  <c r="F20" i="14"/>
  <c r="F56" i="15"/>
  <c r="B53" i="14"/>
  <c r="G56"/>
  <c r="H58"/>
  <c r="G61"/>
  <c r="H56"/>
  <c r="B56" s="1"/>
  <c r="F62" i="15"/>
  <c r="F57"/>
  <c r="G58" i="14"/>
  <c r="B58"/>
  <c r="G55"/>
  <c r="G57" s="1"/>
  <c r="H61"/>
  <c r="H62" s="1"/>
  <c r="H64" s="1"/>
  <c r="F63"/>
  <c r="F62"/>
  <c r="F64" s="1"/>
  <c r="F57"/>
  <c r="G62"/>
  <c r="G64" s="1"/>
  <c r="G63"/>
  <c r="I20" i="15"/>
  <c r="I22"/>
  <c r="I26"/>
  <c r="H53"/>
  <c r="G58"/>
  <c r="G56"/>
  <c r="G61"/>
  <c r="I30" i="14"/>
  <c r="J28"/>
  <c r="G19"/>
  <c r="H17"/>
  <c r="G22"/>
  <c r="B22"/>
  <c r="G20"/>
  <c r="B20"/>
  <c r="H26"/>
  <c r="B26" s="1"/>
  <c r="I24"/>
  <c r="J24" s="1"/>
  <c r="H30" i="15"/>
  <c r="I28"/>
  <c r="B28" s="1"/>
  <c r="G21" i="14"/>
  <c r="B21"/>
  <c r="B19"/>
  <c r="F64" i="15"/>
  <c r="I30"/>
  <c r="J28"/>
  <c r="I26" i="14"/>
  <c r="I17"/>
  <c r="H22"/>
  <c r="H20"/>
  <c r="H19"/>
  <c r="H21" s="1"/>
  <c r="G63" i="15"/>
  <c r="G62"/>
  <c r="G64" s="1"/>
  <c r="H58"/>
  <c r="H56"/>
  <c r="H61"/>
  <c r="H55"/>
  <c r="H57" s="1"/>
  <c r="J30" i="14"/>
  <c r="K28"/>
  <c r="B11" i="13"/>
  <c r="R11"/>
  <c r="B12"/>
  <c r="R12"/>
  <c r="B13"/>
  <c r="R13"/>
  <c r="B15"/>
  <c r="F15"/>
  <c r="G15"/>
  <c r="G16"/>
  <c r="H15"/>
  <c r="I15"/>
  <c r="I16"/>
  <c r="J15"/>
  <c r="K15"/>
  <c r="K16"/>
  <c r="L15"/>
  <c r="M15"/>
  <c r="M16"/>
  <c r="N15"/>
  <c r="O15"/>
  <c r="O16"/>
  <c r="P15"/>
  <c r="Q15"/>
  <c r="Q16"/>
  <c r="F16"/>
  <c r="B16"/>
  <c r="H16"/>
  <c r="J16"/>
  <c r="L16"/>
  <c r="N16"/>
  <c r="P16"/>
  <c r="F17"/>
  <c r="B17"/>
  <c r="B18"/>
  <c r="F19"/>
  <c r="F21"/>
  <c r="F20"/>
  <c r="B20"/>
  <c r="F22"/>
  <c r="B22"/>
  <c r="F24"/>
  <c r="F26"/>
  <c r="G24"/>
  <c r="H24"/>
  <c r="B25"/>
  <c r="G26"/>
  <c r="F28"/>
  <c r="G28"/>
  <c r="B29"/>
  <c r="F30"/>
  <c r="B32"/>
  <c r="R32"/>
  <c r="B33"/>
  <c r="R33"/>
  <c r="B34"/>
  <c r="R34"/>
  <c r="B35"/>
  <c r="R35"/>
  <c r="B36"/>
  <c r="R36"/>
  <c r="B37"/>
  <c r="R37"/>
  <c r="B38"/>
  <c r="R38"/>
  <c r="B39"/>
  <c r="F40"/>
  <c r="G40"/>
  <c r="H40"/>
  <c r="I40"/>
  <c r="J40"/>
  <c r="K40"/>
  <c r="L40"/>
  <c r="M40"/>
  <c r="N40"/>
  <c r="O40"/>
  <c r="P40"/>
  <c r="Q40"/>
  <c r="B42"/>
  <c r="B43"/>
  <c r="B44"/>
  <c r="B45"/>
  <c r="B46"/>
  <c r="B47"/>
  <c r="B48"/>
  <c r="B49"/>
  <c r="F51"/>
  <c r="F52"/>
  <c r="G51"/>
  <c r="H51"/>
  <c r="H52"/>
  <c r="I51"/>
  <c r="J51"/>
  <c r="J52"/>
  <c r="K51"/>
  <c r="L51"/>
  <c r="L52"/>
  <c r="M51"/>
  <c r="N51"/>
  <c r="N52"/>
  <c r="O51"/>
  <c r="P51"/>
  <c r="P52"/>
  <c r="Q51"/>
  <c r="G52"/>
  <c r="I52"/>
  <c r="K52"/>
  <c r="M52"/>
  <c r="O52"/>
  <c r="Q52"/>
  <c r="F53"/>
  <c r="F54"/>
  <c r="G54"/>
  <c r="H54"/>
  <c r="I54"/>
  <c r="B54" s="1"/>
  <c r="J54"/>
  <c r="K54"/>
  <c r="L54"/>
  <c r="M54"/>
  <c r="N54"/>
  <c r="O54"/>
  <c r="P54"/>
  <c r="Q54"/>
  <c r="F56"/>
  <c r="F60"/>
  <c r="B60"/>
  <c r="G60"/>
  <c r="H60"/>
  <c r="I60"/>
  <c r="J60"/>
  <c r="K60"/>
  <c r="L60"/>
  <c r="M60"/>
  <c r="N60"/>
  <c r="O60"/>
  <c r="P60"/>
  <c r="Q60"/>
  <c r="F61"/>
  <c r="F62" s="1"/>
  <c r="F64" s="1"/>
  <c r="B66"/>
  <c r="B67"/>
  <c r="B68"/>
  <c r="B69"/>
  <c r="B71"/>
  <c r="B72"/>
  <c r="B74"/>
  <c r="I74"/>
  <c r="L74"/>
  <c r="M74"/>
  <c r="O74"/>
  <c r="P74"/>
  <c r="A79"/>
  <c r="A81"/>
  <c r="A83"/>
  <c r="A85"/>
  <c r="B40"/>
  <c r="B24"/>
  <c r="G17"/>
  <c r="G22"/>
  <c r="F55"/>
  <c r="I20" i="14"/>
  <c r="I19"/>
  <c r="I21" s="1"/>
  <c r="J17"/>
  <c r="I22"/>
  <c r="L28"/>
  <c r="K30"/>
  <c r="K28" i="15"/>
  <c r="J30"/>
  <c r="H63"/>
  <c r="H62"/>
  <c r="H64"/>
  <c r="B52" i="13"/>
  <c r="F58"/>
  <c r="G30"/>
  <c r="H28"/>
  <c r="H26"/>
  <c r="B26" s="1"/>
  <c r="I24"/>
  <c r="I26" s="1"/>
  <c r="G53"/>
  <c r="H53" s="1"/>
  <c r="B51"/>
  <c r="G20"/>
  <c r="H17"/>
  <c r="G19"/>
  <c r="G21"/>
  <c r="F57"/>
  <c r="K30" i="15"/>
  <c r="L28"/>
  <c r="L30" i="14"/>
  <c r="M28"/>
  <c r="J20"/>
  <c r="J19"/>
  <c r="J21"/>
  <c r="K17"/>
  <c r="J22"/>
  <c r="J24" i="13"/>
  <c r="G55"/>
  <c r="G57" s="1"/>
  <c r="G56"/>
  <c r="G61"/>
  <c r="H30"/>
  <c r="I28"/>
  <c r="B28" s="1"/>
  <c r="B11" i="12"/>
  <c r="R11"/>
  <c r="B12"/>
  <c r="R12"/>
  <c r="B13"/>
  <c r="R13"/>
  <c r="B15"/>
  <c r="F15"/>
  <c r="G15"/>
  <c r="G16"/>
  <c r="H15"/>
  <c r="I15"/>
  <c r="I16"/>
  <c r="J15"/>
  <c r="K15"/>
  <c r="K16"/>
  <c r="L15"/>
  <c r="M15"/>
  <c r="M16"/>
  <c r="N15"/>
  <c r="O15"/>
  <c r="O16"/>
  <c r="P15"/>
  <c r="Q15"/>
  <c r="Q16"/>
  <c r="F16"/>
  <c r="B16"/>
  <c r="H16"/>
  <c r="J16"/>
  <c r="L16"/>
  <c r="N16"/>
  <c r="P16"/>
  <c r="F17"/>
  <c r="G17"/>
  <c r="B18"/>
  <c r="F19"/>
  <c r="F21"/>
  <c r="B21"/>
  <c r="F20"/>
  <c r="B20"/>
  <c r="F22"/>
  <c r="B22"/>
  <c r="F24"/>
  <c r="F26" s="1"/>
  <c r="G24"/>
  <c r="H24" s="1"/>
  <c r="B25"/>
  <c r="F28"/>
  <c r="G28"/>
  <c r="G30" s="1"/>
  <c r="H28"/>
  <c r="B29"/>
  <c r="F30"/>
  <c r="B32"/>
  <c r="R32"/>
  <c r="B33"/>
  <c r="R33"/>
  <c r="B34"/>
  <c r="R34"/>
  <c r="B35"/>
  <c r="R35"/>
  <c r="B37"/>
  <c r="R37"/>
  <c r="B38"/>
  <c r="R38"/>
  <c r="B39"/>
  <c r="F40"/>
  <c r="G40"/>
  <c r="I40"/>
  <c r="J40"/>
  <c r="K40"/>
  <c r="L40"/>
  <c r="M40"/>
  <c r="N40"/>
  <c r="O40"/>
  <c r="P40"/>
  <c r="Q40"/>
  <c r="B42"/>
  <c r="B43"/>
  <c r="B44"/>
  <c r="B45"/>
  <c r="B46"/>
  <c r="B47"/>
  <c r="B48"/>
  <c r="B49"/>
  <c r="F51"/>
  <c r="F52"/>
  <c r="G51"/>
  <c r="H51"/>
  <c r="H52"/>
  <c r="I51"/>
  <c r="J51"/>
  <c r="J52"/>
  <c r="K51"/>
  <c r="L51"/>
  <c r="L52"/>
  <c r="M51"/>
  <c r="N51"/>
  <c r="N52"/>
  <c r="O51"/>
  <c r="P51"/>
  <c r="P52"/>
  <c r="Q51"/>
  <c r="G52"/>
  <c r="I52"/>
  <c r="K52"/>
  <c r="M52"/>
  <c r="O52"/>
  <c r="Q52"/>
  <c r="F53"/>
  <c r="G53" s="1"/>
  <c r="F54"/>
  <c r="G54"/>
  <c r="H54"/>
  <c r="I54"/>
  <c r="J54"/>
  <c r="K54"/>
  <c r="L54"/>
  <c r="M54"/>
  <c r="N54"/>
  <c r="O54"/>
  <c r="P54"/>
  <c r="Q54"/>
  <c r="F55"/>
  <c r="F56"/>
  <c r="F60"/>
  <c r="B60"/>
  <c r="G60"/>
  <c r="H60"/>
  <c r="I60"/>
  <c r="J60"/>
  <c r="K60"/>
  <c r="L60"/>
  <c r="M60"/>
  <c r="N60"/>
  <c r="O60"/>
  <c r="P60"/>
  <c r="Q60"/>
  <c r="F61"/>
  <c r="F63" s="1"/>
  <c r="B66"/>
  <c r="B67"/>
  <c r="B68"/>
  <c r="B69"/>
  <c r="B71"/>
  <c r="B72"/>
  <c r="B74"/>
  <c r="I74"/>
  <c r="L74"/>
  <c r="M74"/>
  <c r="O74"/>
  <c r="P74"/>
  <c r="A79"/>
  <c r="A81"/>
  <c r="A83"/>
  <c r="A85"/>
  <c r="B11" i="11"/>
  <c r="R11"/>
  <c r="B12"/>
  <c r="R12"/>
  <c r="B13"/>
  <c r="R13"/>
  <c r="B15"/>
  <c r="F15"/>
  <c r="G15"/>
  <c r="G16"/>
  <c r="G22"/>
  <c r="H15"/>
  <c r="I15"/>
  <c r="I16"/>
  <c r="J15"/>
  <c r="K15"/>
  <c r="K16"/>
  <c r="L15"/>
  <c r="M15"/>
  <c r="M16"/>
  <c r="N15"/>
  <c r="O15"/>
  <c r="O16"/>
  <c r="P15"/>
  <c r="Q15"/>
  <c r="Q16"/>
  <c r="F16"/>
  <c r="B16"/>
  <c r="H16"/>
  <c r="J16"/>
  <c r="L16"/>
  <c r="N16"/>
  <c r="P16"/>
  <c r="F17"/>
  <c r="G17"/>
  <c r="H17"/>
  <c r="B18"/>
  <c r="F19"/>
  <c r="F21"/>
  <c r="G19"/>
  <c r="F20"/>
  <c r="G21"/>
  <c r="F22"/>
  <c r="F24"/>
  <c r="F26"/>
  <c r="G24"/>
  <c r="H24"/>
  <c r="B25"/>
  <c r="G26"/>
  <c r="F28"/>
  <c r="G28"/>
  <c r="B29"/>
  <c r="F30"/>
  <c r="B32"/>
  <c r="R32"/>
  <c r="B33"/>
  <c r="R33"/>
  <c r="B34"/>
  <c r="R34"/>
  <c r="B35"/>
  <c r="R35"/>
  <c r="B36"/>
  <c r="R36"/>
  <c r="B37"/>
  <c r="R37"/>
  <c r="B38"/>
  <c r="R38"/>
  <c r="B39"/>
  <c r="F40"/>
  <c r="G40"/>
  <c r="H40"/>
  <c r="I40"/>
  <c r="J40"/>
  <c r="K40"/>
  <c r="L40"/>
  <c r="M40"/>
  <c r="N40"/>
  <c r="O40"/>
  <c r="P40"/>
  <c r="Q40"/>
  <c r="B42"/>
  <c r="B43"/>
  <c r="B44"/>
  <c r="B45"/>
  <c r="B46"/>
  <c r="B47"/>
  <c r="B48"/>
  <c r="B49"/>
  <c r="F51"/>
  <c r="F52"/>
  <c r="G51"/>
  <c r="G52"/>
  <c r="H51"/>
  <c r="H52"/>
  <c r="I51"/>
  <c r="J51"/>
  <c r="J52"/>
  <c r="K51"/>
  <c r="K52"/>
  <c r="L51"/>
  <c r="L52"/>
  <c r="M51"/>
  <c r="N51"/>
  <c r="N52"/>
  <c r="O51"/>
  <c r="O52"/>
  <c r="P51"/>
  <c r="P52"/>
  <c r="Q51"/>
  <c r="Q52"/>
  <c r="I52"/>
  <c r="M52"/>
  <c r="F53"/>
  <c r="F54"/>
  <c r="G54"/>
  <c r="H54"/>
  <c r="I54"/>
  <c r="B54" s="1"/>
  <c r="J54"/>
  <c r="K54"/>
  <c r="L54"/>
  <c r="M54"/>
  <c r="N54"/>
  <c r="O54"/>
  <c r="P54"/>
  <c r="Q54"/>
  <c r="F55"/>
  <c r="F56"/>
  <c r="F57"/>
  <c r="F60"/>
  <c r="B60"/>
  <c r="G60"/>
  <c r="H60"/>
  <c r="I60"/>
  <c r="J60"/>
  <c r="K60"/>
  <c r="L60"/>
  <c r="M60"/>
  <c r="N60"/>
  <c r="O60"/>
  <c r="P60"/>
  <c r="Q60"/>
  <c r="F61"/>
  <c r="F62" s="1"/>
  <c r="F64" s="1"/>
  <c r="B66"/>
  <c r="B67"/>
  <c r="B68"/>
  <c r="B69"/>
  <c r="B71"/>
  <c r="B72"/>
  <c r="B74"/>
  <c r="I74"/>
  <c r="L74"/>
  <c r="M74"/>
  <c r="O74"/>
  <c r="P74"/>
  <c r="A79"/>
  <c r="A81"/>
  <c r="A83"/>
  <c r="A85"/>
  <c r="B24"/>
  <c r="B17"/>
  <c r="R40"/>
  <c r="B40"/>
  <c r="H17" i="12"/>
  <c r="G19"/>
  <c r="G21"/>
  <c r="B19"/>
  <c r="B17"/>
  <c r="G22"/>
  <c r="H19" i="13"/>
  <c r="H21" s="1"/>
  <c r="B21" s="1"/>
  <c r="H20"/>
  <c r="H22"/>
  <c r="I17"/>
  <c r="M30" i="14"/>
  <c r="N28"/>
  <c r="K19"/>
  <c r="K21" s="1"/>
  <c r="L17"/>
  <c r="K22"/>
  <c r="K20"/>
  <c r="L30" i="15"/>
  <c r="M28"/>
  <c r="I30" i="13"/>
  <c r="J28"/>
  <c r="J26"/>
  <c r="K24"/>
  <c r="G63"/>
  <c r="G62"/>
  <c r="B52" i="12"/>
  <c r="F58"/>
  <c r="H20"/>
  <c r="H19"/>
  <c r="H21"/>
  <c r="I17"/>
  <c r="H22"/>
  <c r="F62"/>
  <c r="F64" s="1"/>
  <c r="F57"/>
  <c r="B51"/>
  <c r="G20"/>
  <c r="F63" i="11"/>
  <c r="B52"/>
  <c r="F58"/>
  <c r="H20"/>
  <c r="H19"/>
  <c r="B19" s="1"/>
  <c r="H21"/>
  <c r="B21" s="1"/>
  <c r="I17"/>
  <c r="H22"/>
  <c r="B22" s="1"/>
  <c r="G30"/>
  <c r="H28"/>
  <c r="H26"/>
  <c r="B26" s="1"/>
  <c r="I24"/>
  <c r="G53"/>
  <c r="B51"/>
  <c r="B28"/>
  <c r="G20"/>
  <c r="B20"/>
  <c r="G64" i="13"/>
  <c r="I20"/>
  <c r="I22"/>
  <c r="J17"/>
  <c r="I19"/>
  <c r="I21" s="1"/>
  <c r="M30" i="15"/>
  <c r="N28"/>
  <c r="M17" i="14"/>
  <c r="L22"/>
  <c r="L20"/>
  <c r="L19"/>
  <c r="L21"/>
  <c r="N30"/>
  <c r="O28"/>
  <c r="K28" i="13"/>
  <c r="J30"/>
  <c r="K26"/>
  <c r="L24"/>
  <c r="I20" i="12"/>
  <c r="I19"/>
  <c r="I21" s="1"/>
  <c r="J17"/>
  <c r="I22"/>
  <c r="J24" i="11"/>
  <c r="J26" s="1"/>
  <c r="I26"/>
  <c r="G55"/>
  <c r="G57" s="1"/>
  <c r="H53"/>
  <c r="B53" s="1"/>
  <c r="G58"/>
  <c r="G56"/>
  <c r="G61"/>
  <c r="H30"/>
  <c r="B30" s="1"/>
  <c r="I28"/>
  <c r="J28" s="1"/>
  <c r="I20"/>
  <c r="I19"/>
  <c r="I21" s="1"/>
  <c r="J17"/>
  <c r="J22" s="1"/>
  <c r="I22"/>
  <c r="K17" i="13"/>
  <c r="K19" s="1"/>
  <c r="K21" s="1"/>
  <c r="J22"/>
  <c r="J19"/>
  <c r="J21" s="1"/>
  <c r="J20"/>
  <c r="M20" i="14"/>
  <c r="M19"/>
  <c r="M21"/>
  <c r="N17"/>
  <c r="M22"/>
  <c r="P28"/>
  <c r="O30"/>
  <c r="O28" i="15"/>
  <c r="N30"/>
  <c r="K30" i="13"/>
  <c r="L28"/>
  <c r="L26"/>
  <c r="M24"/>
  <c r="J19" i="12"/>
  <c r="J21" s="1"/>
  <c r="K17"/>
  <c r="K22" s="1"/>
  <c r="J22"/>
  <c r="J20"/>
  <c r="I30" i="11"/>
  <c r="K24"/>
  <c r="G63"/>
  <c r="G62"/>
  <c r="G64" s="1"/>
  <c r="J19"/>
  <c r="J21" s="1"/>
  <c r="K17"/>
  <c r="L17" s="1"/>
  <c r="J20"/>
  <c r="I53"/>
  <c r="H58"/>
  <c r="B58" s="1"/>
  <c r="H56"/>
  <c r="B56" s="1"/>
  <c r="H61"/>
  <c r="B61" s="1"/>
  <c r="H55"/>
  <c r="H57" s="1"/>
  <c r="L17" i="13"/>
  <c r="L22" s="1"/>
  <c r="K22"/>
  <c r="O30" i="15"/>
  <c r="P28"/>
  <c r="P30" i="14"/>
  <c r="Q28"/>
  <c r="Q30" s="1"/>
  <c r="N20"/>
  <c r="N19"/>
  <c r="N21"/>
  <c r="O17"/>
  <c r="N22"/>
  <c r="N24" i="13"/>
  <c r="N26" s="1"/>
  <c r="M26"/>
  <c r="L30"/>
  <c r="M28"/>
  <c r="L17" i="12"/>
  <c r="L19" s="1"/>
  <c r="L21" s="1"/>
  <c r="K20"/>
  <c r="H63" i="11"/>
  <c r="B63" s="1"/>
  <c r="I56"/>
  <c r="I61"/>
  <c r="I62" s="1"/>
  <c r="I64" s="1"/>
  <c r="I55"/>
  <c r="I57" s="1"/>
  <c r="J53"/>
  <c r="J61" s="1"/>
  <c r="J62" s="1"/>
  <c r="J64" s="1"/>
  <c r="I58"/>
  <c r="K22"/>
  <c r="K19"/>
  <c r="K21" s="1"/>
  <c r="K26"/>
  <c r="L24"/>
  <c r="L19" i="13"/>
  <c r="L21" s="1"/>
  <c r="M17"/>
  <c r="N17" s="1"/>
  <c r="O19" i="14"/>
  <c r="O21" s="1"/>
  <c r="P17"/>
  <c r="O22"/>
  <c r="O20"/>
  <c r="P30" i="15"/>
  <c r="Q28"/>
  <c r="Q30"/>
  <c r="O24" i="13"/>
  <c r="O26" s="1"/>
  <c r="M30"/>
  <c r="N28"/>
  <c r="L20" i="12"/>
  <c r="M17"/>
  <c r="M20" s="1"/>
  <c r="L26" i="11"/>
  <c r="M24"/>
  <c r="J56"/>
  <c r="J55"/>
  <c r="J57" s="1"/>
  <c r="K53"/>
  <c r="K58" s="1"/>
  <c r="J58"/>
  <c r="M22" i="13"/>
  <c r="M20"/>
  <c r="Q17" i="14"/>
  <c r="P22"/>
  <c r="P20"/>
  <c r="P19"/>
  <c r="P21"/>
  <c r="P24" i="13"/>
  <c r="Q24" s="1"/>
  <c r="Q26" s="1"/>
  <c r="O28"/>
  <c r="N30"/>
  <c r="M19" i="12"/>
  <c r="M21" s="1"/>
  <c r="M22"/>
  <c r="N24" i="11"/>
  <c r="M26"/>
  <c r="Q20" i="14"/>
  <c r="Q19"/>
  <c r="Q21" s="1"/>
  <c r="Q22"/>
  <c r="O30" i="13"/>
  <c r="P28"/>
  <c r="P26"/>
  <c r="N26" i="11"/>
  <c r="O24"/>
  <c r="P30" i="13"/>
  <c r="Q28"/>
  <c r="Q30" s="1"/>
  <c r="O26" i="11"/>
  <c r="P24"/>
  <c r="P26"/>
  <c r="Q24"/>
  <c r="Q26" s="1"/>
  <c r="A86" i="10"/>
  <c r="A84"/>
  <c r="A82"/>
  <c r="A80"/>
  <c r="P74"/>
  <c r="O74"/>
  <c r="M74"/>
  <c r="L74"/>
  <c r="B72"/>
  <c r="B71"/>
  <c r="B69"/>
  <c r="B68"/>
  <c r="B67"/>
  <c r="B66"/>
  <c r="Q60"/>
  <c r="P60"/>
  <c r="O60"/>
  <c r="N60"/>
  <c r="M60"/>
  <c r="L60"/>
  <c r="K60"/>
  <c r="J60"/>
  <c r="I60"/>
  <c r="H60"/>
  <c r="G60"/>
  <c r="F60"/>
  <c r="B60"/>
  <c r="Q54"/>
  <c r="P54"/>
  <c r="O54"/>
  <c r="N54"/>
  <c r="M54"/>
  <c r="L54"/>
  <c r="K54"/>
  <c r="J54"/>
  <c r="I54"/>
  <c r="H54"/>
  <c r="G54"/>
  <c r="F54"/>
  <c r="F53"/>
  <c r="F56" s="1"/>
  <c r="Q51"/>
  <c r="Q52"/>
  <c r="P51"/>
  <c r="P52"/>
  <c r="O51"/>
  <c r="O52"/>
  <c r="N51"/>
  <c r="N52"/>
  <c r="M51"/>
  <c r="M52"/>
  <c r="L51"/>
  <c r="L52"/>
  <c r="K51"/>
  <c r="K52"/>
  <c r="J51"/>
  <c r="J52"/>
  <c r="I51"/>
  <c r="I52"/>
  <c r="H51"/>
  <c r="H52"/>
  <c r="G51"/>
  <c r="G52"/>
  <c r="F51"/>
  <c r="F52"/>
  <c r="B51"/>
  <c r="B49"/>
  <c r="B48"/>
  <c r="B47"/>
  <c r="B46"/>
  <c r="B45"/>
  <c r="B44"/>
  <c r="B43"/>
  <c r="B42"/>
  <c r="Q40"/>
  <c r="P40"/>
  <c r="O40"/>
  <c r="N40"/>
  <c r="M40"/>
  <c r="L40"/>
  <c r="K40"/>
  <c r="J40"/>
  <c r="I40"/>
  <c r="H40"/>
  <c r="G40"/>
  <c r="G53" s="1"/>
  <c r="F40"/>
  <c r="R39"/>
  <c r="B39"/>
  <c r="R38"/>
  <c r="B38"/>
  <c r="R37"/>
  <c r="B37"/>
  <c r="R36"/>
  <c r="B36"/>
  <c r="R35"/>
  <c r="B35"/>
  <c r="R34"/>
  <c r="B34"/>
  <c r="R33"/>
  <c r="B33"/>
  <c r="R32"/>
  <c r="B32"/>
  <c r="B29"/>
  <c r="F28"/>
  <c r="G28"/>
  <c r="B25"/>
  <c r="F24"/>
  <c r="F26"/>
  <c r="B18"/>
  <c r="F17"/>
  <c r="F19"/>
  <c r="P16"/>
  <c r="L16"/>
  <c r="J16"/>
  <c r="H16"/>
  <c r="Q15"/>
  <c r="Q16"/>
  <c r="P15"/>
  <c r="O15"/>
  <c r="O16"/>
  <c r="N15"/>
  <c r="N16"/>
  <c r="M15"/>
  <c r="M16"/>
  <c r="L15"/>
  <c r="K15"/>
  <c r="K16"/>
  <c r="J15"/>
  <c r="I15"/>
  <c r="I16"/>
  <c r="H15"/>
  <c r="G15"/>
  <c r="G16"/>
  <c r="F15"/>
  <c r="F16"/>
  <c r="F22"/>
  <c r="B15"/>
  <c r="R13"/>
  <c r="B13"/>
  <c r="R12"/>
  <c r="B12"/>
  <c r="R11"/>
  <c r="B11"/>
  <c r="A85" i="9"/>
  <c r="A83"/>
  <c r="A81"/>
  <c r="A79"/>
  <c r="P74"/>
  <c r="O74"/>
  <c r="M74"/>
  <c r="L74"/>
  <c r="I74"/>
  <c r="B74"/>
  <c r="B72"/>
  <c r="B71"/>
  <c r="B69"/>
  <c r="B68"/>
  <c r="B67"/>
  <c r="B66"/>
  <c r="Q60"/>
  <c r="P60"/>
  <c r="O60"/>
  <c r="N60"/>
  <c r="M60"/>
  <c r="L60"/>
  <c r="K60"/>
  <c r="J60"/>
  <c r="I60"/>
  <c r="H60"/>
  <c r="G60"/>
  <c r="F60"/>
  <c r="B60"/>
  <c r="Q54"/>
  <c r="P54"/>
  <c r="O54"/>
  <c r="N54"/>
  <c r="M54"/>
  <c r="L54"/>
  <c r="K54"/>
  <c r="J54"/>
  <c r="I54"/>
  <c r="H54"/>
  <c r="G54"/>
  <c r="F54"/>
  <c r="F53"/>
  <c r="F61" s="1"/>
  <c r="L52"/>
  <c r="Q51"/>
  <c r="Q52"/>
  <c r="P51"/>
  <c r="P52"/>
  <c r="O51"/>
  <c r="O52"/>
  <c r="N51"/>
  <c r="N52"/>
  <c r="M51"/>
  <c r="M52"/>
  <c r="L51"/>
  <c r="K51"/>
  <c r="K52"/>
  <c r="J51"/>
  <c r="J52"/>
  <c r="I51"/>
  <c r="I52"/>
  <c r="H51"/>
  <c r="H52"/>
  <c r="G51"/>
  <c r="G52"/>
  <c r="F51"/>
  <c r="F52"/>
  <c r="B52"/>
  <c r="B51"/>
  <c r="B49"/>
  <c r="B48"/>
  <c r="B47"/>
  <c r="B46"/>
  <c r="B45"/>
  <c r="B44"/>
  <c r="B43"/>
  <c r="B42"/>
  <c r="Q40"/>
  <c r="P40"/>
  <c r="O40"/>
  <c r="N40"/>
  <c r="M40"/>
  <c r="L40"/>
  <c r="K40"/>
  <c r="J40"/>
  <c r="I40"/>
  <c r="H40"/>
  <c r="G40"/>
  <c r="G53" s="1"/>
  <c r="F40"/>
  <c r="R39"/>
  <c r="B39"/>
  <c r="R38"/>
  <c r="B38"/>
  <c r="R37"/>
  <c r="B37"/>
  <c r="R36"/>
  <c r="B36"/>
  <c r="R35"/>
  <c r="B35"/>
  <c r="R34"/>
  <c r="B34"/>
  <c r="R33"/>
  <c r="B33"/>
  <c r="R32"/>
  <c r="B32"/>
  <c r="B29"/>
  <c r="F28"/>
  <c r="F30"/>
  <c r="B25"/>
  <c r="F24"/>
  <c r="F26"/>
  <c r="B18"/>
  <c r="F17"/>
  <c r="G17"/>
  <c r="G19"/>
  <c r="G21"/>
  <c r="J16"/>
  <c r="Q15"/>
  <c r="Q16"/>
  <c r="P15"/>
  <c r="P16"/>
  <c r="O15"/>
  <c r="O16"/>
  <c r="N15"/>
  <c r="N16"/>
  <c r="M15"/>
  <c r="M16"/>
  <c r="L15"/>
  <c r="L16"/>
  <c r="K15"/>
  <c r="K16"/>
  <c r="J15"/>
  <c r="I15"/>
  <c r="I16"/>
  <c r="H15"/>
  <c r="H16"/>
  <c r="G15"/>
  <c r="G16"/>
  <c r="F15"/>
  <c r="F16"/>
  <c r="B15"/>
  <c r="R13"/>
  <c r="B13"/>
  <c r="R12"/>
  <c r="B12"/>
  <c r="R11"/>
  <c r="B11"/>
  <c r="A86" i="8"/>
  <c r="A84"/>
  <c r="A82"/>
  <c r="A80"/>
  <c r="P74"/>
  <c r="O74"/>
  <c r="M74"/>
  <c r="L74"/>
  <c r="I74"/>
  <c r="B74"/>
  <c r="B72"/>
  <c r="B71"/>
  <c r="B69"/>
  <c r="B68"/>
  <c r="B67"/>
  <c r="B66"/>
  <c r="Q60"/>
  <c r="P60"/>
  <c r="O60"/>
  <c r="N60"/>
  <c r="M60"/>
  <c r="L60"/>
  <c r="K60"/>
  <c r="J60"/>
  <c r="I60"/>
  <c r="H60"/>
  <c r="G60"/>
  <c r="F60"/>
  <c r="B60"/>
  <c r="Q54"/>
  <c r="P54"/>
  <c r="O54"/>
  <c r="N54"/>
  <c r="M54"/>
  <c r="L54"/>
  <c r="K54"/>
  <c r="J54"/>
  <c r="I54"/>
  <c r="H54"/>
  <c r="G54"/>
  <c r="F54"/>
  <c r="Q51"/>
  <c r="Q52"/>
  <c r="P51"/>
  <c r="P52"/>
  <c r="O51"/>
  <c r="O52"/>
  <c r="N51"/>
  <c r="N52"/>
  <c r="M51"/>
  <c r="M52"/>
  <c r="L51"/>
  <c r="L52"/>
  <c r="K51"/>
  <c r="K52"/>
  <c r="J51"/>
  <c r="J52"/>
  <c r="I51"/>
  <c r="I52"/>
  <c r="H51"/>
  <c r="H52"/>
  <c r="G51"/>
  <c r="G52"/>
  <c r="F51"/>
  <c r="F52"/>
  <c r="B52"/>
  <c r="B51"/>
  <c r="B49"/>
  <c r="B48"/>
  <c r="B47"/>
  <c r="B46"/>
  <c r="B45"/>
  <c r="B44"/>
  <c r="B43"/>
  <c r="B42"/>
  <c r="Q40"/>
  <c r="P40"/>
  <c r="O40"/>
  <c r="N40"/>
  <c r="M40"/>
  <c r="L40"/>
  <c r="K40"/>
  <c r="J40"/>
  <c r="I40"/>
  <c r="H40"/>
  <c r="G40"/>
  <c r="F40"/>
  <c r="F53" s="1"/>
  <c r="B39"/>
  <c r="R38"/>
  <c r="B38"/>
  <c r="R37"/>
  <c r="B37"/>
  <c r="R36"/>
  <c r="B36"/>
  <c r="R35"/>
  <c r="B35"/>
  <c r="R34"/>
  <c r="B34"/>
  <c r="R33"/>
  <c r="B33"/>
  <c r="R32"/>
  <c r="B32"/>
  <c r="B29"/>
  <c r="G28"/>
  <c r="G30"/>
  <c r="F28"/>
  <c r="B25"/>
  <c r="F24"/>
  <c r="F26"/>
  <c r="B18"/>
  <c r="F17"/>
  <c r="F19"/>
  <c r="F21"/>
  <c r="K16"/>
  <c r="Q15"/>
  <c r="Q16"/>
  <c r="P15"/>
  <c r="P16"/>
  <c r="O15"/>
  <c r="O16"/>
  <c r="N15"/>
  <c r="N16"/>
  <c r="M15"/>
  <c r="M16"/>
  <c r="L15"/>
  <c r="L16"/>
  <c r="K15"/>
  <c r="J15"/>
  <c r="J16"/>
  <c r="I15"/>
  <c r="I16"/>
  <c r="H15"/>
  <c r="H16"/>
  <c r="G15"/>
  <c r="G16"/>
  <c r="F15"/>
  <c r="B15"/>
  <c r="R13"/>
  <c r="B13"/>
  <c r="R12"/>
  <c r="B12"/>
  <c r="R11"/>
  <c r="B11"/>
  <c r="A85" i="7"/>
  <c r="A83"/>
  <c r="A81"/>
  <c r="A79"/>
  <c r="P74"/>
  <c r="O74"/>
  <c r="M74"/>
  <c r="L74"/>
  <c r="I74"/>
  <c r="B74"/>
  <c r="B72"/>
  <c r="B71"/>
  <c r="B69"/>
  <c r="B68"/>
  <c r="B67"/>
  <c r="B66"/>
  <c r="Q60"/>
  <c r="P60"/>
  <c r="O60"/>
  <c r="N60"/>
  <c r="M60"/>
  <c r="L60"/>
  <c r="K60"/>
  <c r="J60"/>
  <c r="I60"/>
  <c r="H60"/>
  <c r="G60"/>
  <c r="F60"/>
  <c r="B60"/>
  <c r="Q54"/>
  <c r="P54"/>
  <c r="O54"/>
  <c r="N54"/>
  <c r="M54"/>
  <c r="L54"/>
  <c r="K54"/>
  <c r="J54"/>
  <c r="I54"/>
  <c r="H54"/>
  <c r="G54"/>
  <c r="F54"/>
  <c r="Q51"/>
  <c r="Q52"/>
  <c r="P51"/>
  <c r="P52"/>
  <c r="O51"/>
  <c r="O52"/>
  <c r="N51"/>
  <c r="N52"/>
  <c r="M51"/>
  <c r="M52"/>
  <c r="L51"/>
  <c r="L52"/>
  <c r="K51"/>
  <c r="K52"/>
  <c r="J51"/>
  <c r="J52"/>
  <c r="I51"/>
  <c r="I52"/>
  <c r="H51"/>
  <c r="H52"/>
  <c r="G51"/>
  <c r="G52"/>
  <c r="F51"/>
  <c r="B51"/>
  <c r="B49"/>
  <c r="B48"/>
  <c r="B47"/>
  <c r="B46"/>
  <c r="B45"/>
  <c r="B44"/>
  <c r="B43"/>
  <c r="B42"/>
  <c r="Q40"/>
  <c r="P40"/>
  <c r="O40"/>
  <c r="N40"/>
  <c r="M40"/>
  <c r="L40"/>
  <c r="K40"/>
  <c r="J40"/>
  <c r="I40"/>
  <c r="H40"/>
  <c r="G40"/>
  <c r="F40"/>
  <c r="F53" s="1"/>
  <c r="B39"/>
  <c r="R38"/>
  <c r="B38"/>
  <c r="R37"/>
  <c r="B37"/>
  <c r="R36"/>
  <c r="B36"/>
  <c r="R35"/>
  <c r="B35"/>
  <c r="R34"/>
  <c r="B34"/>
  <c r="R33"/>
  <c r="B33"/>
  <c r="R32"/>
  <c r="B32"/>
  <c r="B29"/>
  <c r="F28"/>
  <c r="F30"/>
  <c r="B25"/>
  <c r="F24"/>
  <c r="G24"/>
  <c r="B18"/>
  <c r="F17"/>
  <c r="K16"/>
  <c r="Q15"/>
  <c r="Q16"/>
  <c r="P15"/>
  <c r="P16"/>
  <c r="O15"/>
  <c r="O16"/>
  <c r="N15"/>
  <c r="N16"/>
  <c r="M15"/>
  <c r="M16"/>
  <c r="L15"/>
  <c r="L16"/>
  <c r="K15"/>
  <c r="J15"/>
  <c r="J16"/>
  <c r="I15"/>
  <c r="I16"/>
  <c r="H15"/>
  <c r="H16"/>
  <c r="G15"/>
  <c r="G16"/>
  <c r="F15"/>
  <c r="F16"/>
  <c r="B16"/>
  <c r="B15"/>
  <c r="R13"/>
  <c r="B13"/>
  <c r="R12"/>
  <c r="B12"/>
  <c r="R11"/>
  <c r="B11"/>
  <c r="B28" i="8"/>
  <c r="B17" i="9"/>
  <c r="R40" i="10"/>
  <c r="R40" i="9"/>
  <c r="B24" i="7"/>
  <c r="B40"/>
  <c r="F22"/>
  <c r="B40" i="8"/>
  <c r="B16" i="9"/>
  <c r="F22"/>
  <c r="G24"/>
  <c r="B24"/>
  <c r="F58"/>
  <c r="B40"/>
  <c r="F20"/>
  <c r="F21" i="10"/>
  <c r="F20"/>
  <c r="B40"/>
  <c r="G17"/>
  <c r="H17"/>
  <c r="G24"/>
  <c r="G26"/>
  <c r="F30"/>
  <c r="F61"/>
  <c r="F63" s="1"/>
  <c r="F55"/>
  <c r="F57"/>
  <c r="H28"/>
  <c r="G30"/>
  <c r="B17" i="7"/>
  <c r="G17"/>
  <c r="F19"/>
  <c r="F20"/>
  <c r="B20"/>
  <c r="H24"/>
  <c r="G26"/>
  <c r="G28"/>
  <c r="F52"/>
  <c r="B52"/>
  <c r="F16" i="8"/>
  <c r="B16"/>
  <c r="F20"/>
  <c r="G24"/>
  <c r="B24"/>
  <c r="H28"/>
  <c r="F30"/>
  <c r="R40"/>
  <c r="H17" i="9"/>
  <c r="F19"/>
  <c r="G22"/>
  <c r="G28"/>
  <c r="B28"/>
  <c r="F55"/>
  <c r="H24" i="10"/>
  <c r="B28"/>
  <c r="B54"/>
  <c r="F26" i="7"/>
  <c r="B26"/>
  <c r="B28"/>
  <c r="G17" i="8"/>
  <c r="B17"/>
  <c r="G20" i="9"/>
  <c r="B16" i="10"/>
  <c r="B52"/>
  <c r="R40" i="7"/>
  <c r="F56" i="9"/>
  <c r="B24" i="10"/>
  <c r="B17"/>
  <c r="B20" i="9"/>
  <c r="B22"/>
  <c r="H24"/>
  <c r="G26"/>
  <c r="G22" i="10"/>
  <c r="G19"/>
  <c r="F62"/>
  <c r="F64" s="1"/>
  <c r="G20"/>
  <c r="G20" i="8"/>
  <c r="B20"/>
  <c r="G22"/>
  <c r="H17"/>
  <c r="G19"/>
  <c r="F21" i="9"/>
  <c r="B21"/>
  <c r="B19"/>
  <c r="I28" i="8"/>
  <c r="H30"/>
  <c r="B30" s="1"/>
  <c r="B19" i="7"/>
  <c r="F21"/>
  <c r="B21"/>
  <c r="H20" i="10"/>
  <c r="B20" s="1"/>
  <c r="H22"/>
  <c r="B22" s="1"/>
  <c r="I17"/>
  <c r="H19"/>
  <c r="H21"/>
  <c r="I24"/>
  <c r="H26"/>
  <c r="B26" s="1"/>
  <c r="H28" i="9"/>
  <c r="G30"/>
  <c r="H28" i="7"/>
  <c r="G30"/>
  <c r="I24"/>
  <c r="H26"/>
  <c r="G22"/>
  <c r="G20"/>
  <c r="G19"/>
  <c r="G21"/>
  <c r="H17"/>
  <c r="H30" i="10"/>
  <c r="B30" s="1"/>
  <c r="I28"/>
  <c r="F57" i="9"/>
  <c r="H22"/>
  <c r="I17"/>
  <c r="H19"/>
  <c r="H21" s="1"/>
  <c r="H20"/>
  <c r="H24" i="8"/>
  <c r="G26"/>
  <c r="B26"/>
  <c r="F22"/>
  <c r="B22"/>
  <c r="G21"/>
  <c r="G21" i="10"/>
  <c r="B21"/>
  <c r="B19"/>
  <c r="H26" i="9"/>
  <c r="B26" s="1"/>
  <c r="I24"/>
  <c r="I24" i="8"/>
  <c r="H26"/>
  <c r="I28" i="9"/>
  <c r="H30"/>
  <c r="B30" s="1"/>
  <c r="I19" i="10"/>
  <c r="I21" s="1"/>
  <c r="I20"/>
  <c r="I22"/>
  <c r="J17"/>
  <c r="I22" i="9"/>
  <c r="J17"/>
  <c r="I19"/>
  <c r="I21" s="1"/>
  <c r="I20"/>
  <c r="J28" i="10"/>
  <c r="K28" s="1"/>
  <c r="I30"/>
  <c r="I26" i="7"/>
  <c r="J24"/>
  <c r="J28" i="8"/>
  <c r="J30" s="1"/>
  <c r="I30"/>
  <c r="H19"/>
  <c r="H21" s="1"/>
  <c r="B21" s="1"/>
  <c r="H20"/>
  <c r="H22"/>
  <c r="I17"/>
  <c r="H22" i="7"/>
  <c r="H20"/>
  <c r="I17"/>
  <c r="H19"/>
  <c r="H21" s="1"/>
  <c r="I28"/>
  <c r="H30"/>
  <c r="B30" s="1"/>
  <c r="J24" i="10"/>
  <c r="I26"/>
  <c r="J24" i="9"/>
  <c r="I26"/>
  <c r="K24" i="7"/>
  <c r="J26"/>
  <c r="J28" i="9"/>
  <c r="I30"/>
  <c r="J28" i="7"/>
  <c r="I30"/>
  <c r="K28" i="8"/>
  <c r="J30" i="10"/>
  <c r="J22"/>
  <c r="K17"/>
  <c r="J19"/>
  <c r="J21" s="1"/>
  <c r="J20"/>
  <c r="J24" i="8"/>
  <c r="I26"/>
  <c r="I22"/>
  <c r="J17"/>
  <c r="I19"/>
  <c r="I21" s="1"/>
  <c r="I20"/>
  <c r="J20" i="9"/>
  <c r="J22"/>
  <c r="K17"/>
  <c r="J19"/>
  <c r="J21" s="1"/>
  <c r="K24" i="10"/>
  <c r="J26"/>
  <c r="I20" i="7"/>
  <c r="I22"/>
  <c r="I19"/>
  <c r="I21" s="1"/>
  <c r="J17"/>
  <c r="K24" i="9"/>
  <c r="J26"/>
  <c r="K26" i="10"/>
  <c r="L24"/>
  <c r="J30" i="7"/>
  <c r="K28"/>
  <c r="J30" i="9"/>
  <c r="K28"/>
  <c r="J19" i="7"/>
  <c r="J21" s="1"/>
  <c r="J20"/>
  <c r="K17"/>
  <c r="J22"/>
  <c r="J22" i="8"/>
  <c r="K17"/>
  <c r="J19"/>
  <c r="J21" s="1"/>
  <c r="J20"/>
  <c r="J26"/>
  <c r="K24"/>
  <c r="K30"/>
  <c r="L28"/>
  <c r="L24" i="7"/>
  <c r="K26"/>
  <c r="K19" i="9"/>
  <c r="K21" s="1"/>
  <c r="K20"/>
  <c r="K22"/>
  <c r="L17"/>
  <c r="K22" i="10"/>
  <c r="L17"/>
  <c r="K19"/>
  <c r="K21" s="1"/>
  <c r="K20"/>
  <c r="K26" i="9"/>
  <c r="L24"/>
  <c r="L24" i="8"/>
  <c r="K26"/>
  <c r="K20"/>
  <c r="K22"/>
  <c r="L17"/>
  <c r="K19"/>
  <c r="K21"/>
  <c r="L28" i="9"/>
  <c r="K30"/>
  <c r="M24" i="10"/>
  <c r="L26"/>
  <c r="L20"/>
  <c r="L22"/>
  <c r="M17"/>
  <c r="L19"/>
  <c r="L21"/>
  <c r="M24" i="7"/>
  <c r="L26"/>
  <c r="L22" i="9"/>
  <c r="M17"/>
  <c r="L19"/>
  <c r="L21" s="1"/>
  <c r="L20"/>
  <c r="M28" i="8"/>
  <c r="L30"/>
  <c r="L28" i="7"/>
  <c r="K30"/>
  <c r="K19"/>
  <c r="K21" s="1"/>
  <c r="K22"/>
  <c r="K20"/>
  <c r="L17"/>
  <c r="L26" i="9"/>
  <c r="M24"/>
  <c r="L22" i="7"/>
  <c r="L20"/>
  <c r="L19"/>
  <c r="L21" s="1"/>
  <c r="M17"/>
  <c r="M26"/>
  <c r="N24"/>
  <c r="M28" i="9"/>
  <c r="L30"/>
  <c r="L19" i="8"/>
  <c r="L21" s="1"/>
  <c r="L20"/>
  <c r="L22"/>
  <c r="M17"/>
  <c r="M24"/>
  <c r="L26"/>
  <c r="M28" i="7"/>
  <c r="L30"/>
  <c r="N28" i="8"/>
  <c r="M30"/>
  <c r="M19" i="10"/>
  <c r="M21" s="1"/>
  <c r="M20"/>
  <c r="M22"/>
  <c r="N17"/>
  <c r="N24"/>
  <c r="M26"/>
  <c r="M22" i="9"/>
  <c r="N17"/>
  <c r="M19"/>
  <c r="M21" s="1"/>
  <c r="M20"/>
  <c r="N24"/>
  <c r="M26"/>
  <c r="N22" i="10"/>
  <c r="O17"/>
  <c r="N19"/>
  <c r="N21" s="1"/>
  <c r="N20"/>
  <c r="N24" i="8"/>
  <c r="M26"/>
  <c r="O24" i="10"/>
  <c r="N26"/>
  <c r="O24" i="7"/>
  <c r="N26"/>
  <c r="N28"/>
  <c r="M30"/>
  <c r="N28" i="9"/>
  <c r="M30"/>
  <c r="N20"/>
  <c r="N22"/>
  <c r="O17"/>
  <c r="N19"/>
  <c r="N21"/>
  <c r="O28" i="8"/>
  <c r="N30"/>
  <c r="M22"/>
  <c r="N17"/>
  <c r="M19"/>
  <c r="M21" s="1"/>
  <c r="M20"/>
  <c r="M20" i="7"/>
  <c r="M22"/>
  <c r="M19"/>
  <c r="M21" s="1"/>
  <c r="N17"/>
  <c r="N26" i="9"/>
  <c r="O24"/>
  <c r="O30" i="8"/>
  <c r="P28"/>
  <c r="O26" i="10"/>
  <c r="P24"/>
  <c r="N30" i="7"/>
  <c r="O28"/>
  <c r="P24"/>
  <c r="O26"/>
  <c r="O22" i="10"/>
  <c r="P17"/>
  <c r="O19"/>
  <c r="O21" s="1"/>
  <c r="O20"/>
  <c r="N26" i="8"/>
  <c r="O24"/>
  <c r="N22"/>
  <c r="O17"/>
  <c r="N19"/>
  <c r="N21" s="1"/>
  <c r="N20"/>
  <c r="N19" i="7"/>
  <c r="N21" s="1"/>
  <c r="N20"/>
  <c r="N22"/>
  <c r="O17"/>
  <c r="O19" i="9"/>
  <c r="O21" s="1"/>
  <c r="O20"/>
  <c r="O22"/>
  <c r="P17"/>
  <c r="N30"/>
  <c r="O28"/>
  <c r="O30" s="1"/>
  <c r="O26"/>
  <c r="P24"/>
  <c r="P28"/>
  <c r="P24" i="8"/>
  <c r="O26"/>
  <c r="Q24" i="10"/>
  <c r="Q26" s="1"/>
  <c r="P26"/>
  <c r="Q28" i="8"/>
  <c r="Q30" s="1"/>
  <c r="P30"/>
  <c r="O19" i="7"/>
  <c r="O21" s="1"/>
  <c r="O22"/>
  <c r="O20"/>
  <c r="P17"/>
  <c r="P28"/>
  <c r="O30"/>
  <c r="P22" i="9"/>
  <c r="Q17"/>
  <c r="P19"/>
  <c r="P21" s="1"/>
  <c r="P20"/>
  <c r="O20" i="8"/>
  <c r="O22"/>
  <c r="P17"/>
  <c r="P22" s="1"/>
  <c r="O19"/>
  <c r="O21"/>
  <c r="P20" i="10"/>
  <c r="P22"/>
  <c r="Q17"/>
  <c r="P19"/>
  <c r="P21" s="1"/>
  <c r="Q24" i="7"/>
  <c r="Q26" s="1"/>
  <c r="P26"/>
  <c r="P26" i="9"/>
  <c r="Q24"/>
  <c r="Q26" s="1"/>
  <c r="P19" i="8"/>
  <c r="P21" s="1"/>
  <c r="P20"/>
  <c r="Q17"/>
  <c r="Q19" s="1"/>
  <c r="Q21" s="1"/>
  <c r="Q22" i="9"/>
  <c r="Q19"/>
  <c r="Q21" s="1"/>
  <c r="Q20"/>
  <c r="Q24" i="8"/>
  <c r="Q26" s="1"/>
  <c r="P26"/>
  <c r="Q28" i="9"/>
  <c r="Q30" s="1"/>
  <c r="P30"/>
  <c r="Q28" i="7"/>
  <c r="Q30"/>
  <c r="P30"/>
  <c r="Q19" i="10"/>
  <c r="Q21" s="1"/>
  <c r="Q20"/>
  <c r="Q22"/>
  <c r="P22" i="7"/>
  <c r="P20"/>
  <c r="Q17"/>
  <c r="P19"/>
  <c r="P21" s="1"/>
  <c r="Q20"/>
  <c r="Q22"/>
  <c r="Q19"/>
  <c r="Q21" s="1"/>
  <c r="Q22" i="8"/>
  <c r="F17" i="5"/>
  <c r="G17"/>
  <c r="F17" i="6"/>
  <c r="G17"/>
  <c r="H17" s="1"/>
  <c r="F16"/>
  <c r="F15"/>
  <c r="F28"/>
  <c r="F24"/>
  <c r="B66" i="5"/>
  <c r="F54"/>
  <c r="G40"/>
  <c r="H40"/>
  <c r="I40"/>
  <c r="J40"/>
  <c r="K40"/>
  <c r="L40"/>
  <c r="M40"/>
  <c r="N40"/>
  <c r="O40"/>
  <c r="P40"/>
  <c r="Q40"/>
  <c r="F40"/>
  <c r="F53"/>
  <c r="K60"/>
  <c r="G60"/>
  <c r="H60"/>
  <c r="I60"/>
  <c r="J60"/>
  <c r="L60"/>
  <c r="M60"/>
  <c r="N60"/>
  <c r="O60"/>
  <c r="P60"/>
  <c r="Q60"/>
  <c r="F60"/>
  <c r="G51"/>
  <c r="G52"/>
  <c r="H51"/>
  <c r="I51"/>
  <c r="I52"/>
  <c r="J51"/>
  <c r="K51"/>
  <c r="K52"/>
  <c r="L51"/>
  <c r="M51"/>
  <c r="M52"/>
  <c r="N51"/>
  <c r="O51"/>
  <c r="O52"/>
  <c r="P51"/>
  <c r="Q51"/>
  <c r="Q52"/>
  <c r="F51"/>
  <c r="G54"/>
  <c r="H54"/>
  <c r="I54"/>
  <c r="J54"/>
  <c r="K54"/>
  <c r="L54"/>
  <c r="M54"/>
  <c r="N54"/>
  <c r="O54"/>
  <c r="P54"/>
  <c r="Q54"/>
  <c r="B54"/>
  <c r="B43"/>
  <c r="B44"/>
  <c r="B45"/>
  <c r="B46"/>
  <c r="B47"/>
  <c r="B48"/>
  <c r="B49"/>
  <c r="B42"/>
  <c r="B39"/>
  <c r="A85" i="6"/>
  <c r="B39"/>
  <c r="B43"/>
  <c r="B44"/>
  <c r="B45"/>
  <c r="B46"/>
  <c r="B47"/>
  <c r="B48"/>
  <c r="B49"/>
  <c r="B42"/>
  <c r="B16"/>
  <c r="G60"/>
  <c r="H60"/>
  <c r="I60"/>
  <c r="J60"/>
  <c r="K60"/>
  <c r="L60"/>
  <c r="M60"/>
  <c r="N60"/>
  <c r="O60"/>
  <c r="P60"/>
  <c r="Q60"/>
  <c r="F60"/>
  <c r="G51"/>
  <c r="H51"/>
  <c r="I51"/>
  <c r="J51"/>
  <c r="K51"/>
  <c r="L51"/>
  <c r="M51"/>
  <c r="N51"/>
  <c r="O51"/>
  <c r="P51"/>
  <c r="Q51"/>
  <c r="Q52"/>
  <c r="F51"/>
  <c r="F52"/>
  <c r="G54"/>
  <c r="H54"/>
  <c r="I54"/>
  <c r="J54"/>
  <c r="K54"/>
  <c r="L54"/>
  <c r="M54"/>
  <c r="N54"/>
  <c r="O54"/>
  <c r="P54"/>
  <c r="Q54"/>
  <c r="F54"/>
  <c r="B38"/>
  <c r="B51"/>
  <c r="R39"/>
  <c r="R38"/>
  <c r="G40"/>
  <c r="H40"/>
  <c r="I40"/>
  <c r="J40"/>
  <c r="K40"/>
  <c r="L40"/>
  <c r="M40"/>
  <c r="N40"/>
  <c r="O40"/>
  <c r="P40"/>
  <c r="Q40"/>
  <c r="F40"/>
  <c r="B11"/>
  <c r="B60" i="5"/>
  <c r="B60" i="6"/>
  <c r="A85" i="5"/>
  <c r="A83"/>
  <c r="A81"/>
  <c r="A79"/>
  <c r="A81" i="6"/>
  <c r="A83"/>
  <c r="A79"/>
  <c r="R33"/>
  <c r="R34"/>
  <c r="R35"/>
  <c r="R36"/>
  <c r="R37"/>
  <c r="R32"/>
  <c r="R12"/>
  <c r="R13"/>
  <c r="R11"/>
  <c r="P74"/>
  <c r="O74"/>
  <c r="M74"/>
  <c r="L74"/>
  <c r="J74"/>
  <c r="I74"/>
  <c r="B69"/>
  <c r="F53"/>
  <c r="F55" s="1"/>
  <c r="F57" s="1"/>
  <c r="P52"/>
  <c r="O52"/>
  <c r="N52"/>
  <c r="M52"/>
  <c r="L52"/>
  <c r="K52"/>
  <c r="J52"/>
  <c r="I52"/>
  <c r="H52"/>
  <c r="G52"/>
  <c r="B37"/>
  <c r="B35"/>
  <c r="B34"/>
  <c r="B33"/>
  <c r="B32"/>
  <c r="G28"/>
  <c r="F26"/>
  <c r="F19"/>
  <c r="B18"/>
  <c r="Q15"/>
  <c r="Q16"/>
  <c r="P15"/>
  <c r="P16"/>
  <c r="O15"/>
  <c r="O16"/>
  <c r="N15"/>
  <c r="N16"/>
  <c r="M15"/>
  <c r="M16"/>
  <c r="L15"/>
  <c r="L16"/>
  <c r="K15"/>
  <c r="K16"/>
  <c r="J15"/>
  <c r="J16"/>
  <c r="I15"/>
  <c r="I16"/>
  <c r="H15"/>
  <c r="H16"/>
  <c r="G15"/>
  <c r="G16"/>
  <c r="B13"/>
  <c r="B12"/>
  <c r="R33" i="5"/>
  <c r="R34"/>
  <c r="R35"/>
  <c r="R36"/>
  <c r="R37"/>
  <c r="R38"/>
  <c r="R32"/>
  <c r="R12"/>
  <c r="R13"/>
  <c r="R11"/>
  <c r="B11"/>
  <c r="P74"/>
  <c r="O74"/>
  <c r="M74"/>
  <c r="L74"/>
  <c r="J74"/>
  <c r="I74"/>
  <c r="P52"/>
  <c r="N52"/>
  <c r="L52"/>
  <c r="J52"/>
  <c r="H52"/>
  <c r="F52"/>
  <c r="B38"/>
  <c r="B37"/>
  <c r="B36"/>
  <c r="B35"/>
  <c r="B34"/>
  <c r="B33"/>
  <c r="B32"/>
  <c r="F28"/>
  <c r="F30" s="1"/>
  <c r="F24"/>
  <c r="F26"/>
  <c r="F19"/>
  <c r="B18"/>
  <c r="Q15"/>
  <c r="Q16"/>
  <c r="P15"/>
  <c r="P16"/>
  <c r="O15"/>
  <c r="O16"/>
  <c r="N15"/>
  <c r="N16"/>
  <c r="M15"/>
  <c r="M16"/>
  <c r="L15"/>
  <c r="L16"/>
  <c r="K15"/>
  <c r="K16"/>
  <c r="J15"/>
  <c r="J16"/>
  <c r="I15"/>
  <c r="I16"/>
  <c r="H15"/>
  <c r="H16"/>
  <c r="G15"/>
  <c r="G16"/>
  <c r="F15"/>
  <c r="B13"/>
  <c r="B12"/>
  <c r="R40" i="6"/>
  <c r="F61" i="5"/>
  <c r="G53"/>
  <c r="H53" s="1"/>
  <c r="F55"/>
  <c r="B71"/>
  <c r="B40" i="6"/>
  <c r="F63" i="5"/>
  <c r="B40"/>
  <c r="F61" i="6"/>
  <c r="F62" s="1"/>
  <c r="F64" s="1"/>
  <c r="G53"/>
  <c r="G61" s="1"/>
  <c r="R40" i="5"/>
  <c r="F16"/>
  <c r="F22"/>
  <c r="B36" i="6"/>
  <c r="B25"/>
  <c r="F21"/>
  <c r="G30"/>
  <c r="H28"/>
  <c r="B67"/>
  <c r="B15"/>
  <c r="F20"/>
  <c r="F22"/>
  <c r="G24"/>
  <c r="F30"/>
  <c r="B28"/>
  <c r="F56"/>
  <c r="F58"/>
  <c r="B25" i="5"/>
  <c r="B29"/>
  <c r="G28"/>
  <c r="G30" s="1"/>
  <c r="F21"/>
  <c r="F58"/>
  <c r="F56"/>
  <c r="B15"/>
  <c r="F20"/>
  <c r="G24"/>
  <c r="H28"/>
  <c r="B28" s="1"/>
  <c r="G61"/>
  <c r="G62" s="1"/>
  <c r="G64" s="1"/>
  <c r="B72"/>
  <c r="F62"/>
  <c r="F64"/>
  <c r="B51"/>
  <c r="B69"/>
  <c r="B68" i="6"/>
  <c r="B66"/>
  <c r="B72"/>
  <c r="B71"/>
  <c r="F63"/>
  <c r="B16" i="5"/>
  <c r="B52" i="6"/>
  <c r="B29"/>
  <c r="G22"/>
  <c r="G20"/>
  <c r="G19"/>
  <c r="G21"/>
  <c r="G58"/>
  <c r="G56"/>
  <c r="H53"/>
  <c r="B53" s="1"/>
  <c r="G55"/>
  <c r="G57" s="1"/>
  <c r="H24"/>
  <c r="B24" s="1"/>
  <c r="G26"/>
  <c r="I28"/>
  <c r="H30"/>
  <c r="B30" s="1"/>
  <c r="B52" i="5"/>
  <c r="H24"/>
  <c r="B24" s="1"/>
  <c r="G26"/>
  <c r="G22"/>
  <c r="G20"/>
  <c r="H17"/>
  <c r="G19"/>
  <c r="G21"/>
  <c r="F57"/>
  <c r="B68"/>
  <c r="I28"/>
  <c r="H30"/>
  <c r="B30" s="1"/>
  <c r="G58"/>
  <c r="G56"/>
  <c r="G55"/>
  <c r="G57" s="1"/>
  <c r="G63"/>
  <c r="B74"/>
  <c r="B67"/>
  <c r="I30" i="6"/>
  <c r="J28"/>
  <c r="J30" s="1"/>
  <c r="H26"/>
  <c r="B26" s="1"/>
  <c r="I24"/>
  <c r="H55"/>
  <c r="H57" s="1"/>
  <c r="H58"/>
  <c r="B58" s="1"/>
  <c r="H56"/>
  <c r="B56" s="1"/>
  <c r="I53"/>
  <c r="I61" s="1"/>
  <c r="I30" i="5"/>
  <c r="J28"/>
  <c r="H19"/>
  <c r="H21" s="1"/>
  <c r="B21" s="1"/>
  <c r="H22"/>
  <c r="H20"/>
  <c r="I17"/>
  <c r="B17"/>
  <c r="H26"/>
  <c r="B26" s="1"/>
  <c r="I24"/>
  <c r="J24" s="1"/>
  <c r="B74" i="6"/>
  <c r="J24"/>
  <c r="I26"/>
  <c r="K28"/>
  <c r="L28" s="1"/>
  <c r="I56"/>
  <c r="K28" i="5"/>
  <c r="J30"/>
  <c r="I22"/>
  <c r="B22"/>
  <c r="I20"/>
  <c r="B20"/>
  <c r="J17"/>
  <c r="J19" s="1"/>
  <c r="J21" s="1"/>
  <c r="I19"/>
  <c r="I21" s="1"/>
  <c r="B19"/>
  <c r="K30" i="6"/>
  <c r="J26"/>
  <c r="K24"/>
  <c r="L24" s="1"/>
  <c r="J22" i="5"/>
  <c r="K17"/>
  <c r="K22" s="1"/>
  <c r="K30"/>
  <c r="L28"/>
  <c r="M28" s="1"/>
  <c r="K26" i="6"/>
  <c r="K19" i="5"/>
  <c r="K21" s="1"/>
  <c r="B30" i="13" l="1"/>
  <c r="B40" i="15"/>
  <c r="B30"/>
  <c r="G55" i="16"/>
  <c r="G57" s="1"/>
  <c r="B54" i="6"/>
  <c r="B54" i="9"/>
  <c r="B54" i="12"/>
  <c r="B54" i="8"/>
  <c r="B54" i="7"/>
  <c r="B54" i="17"/>
  <c r="B57" i="11"/>
  <c r="J24" i="16"/>
  <c r="M17"/>
  <c r="K19"/>
  <c r="K21" s="1"/>
  <c r="I17" i="6"/>
  <c r="H19"/>
  <c r="B19" s="1"/>
  <c r="H20"/>
  <c r="B20" s="1"/>
  <c r="B17"/>
  <c r="H22"/>
  <c r="B22" s="1"/>
  <c r="M28"/>
  <c r="L30"/>
  <c r="M24"/>
  <c r="L26"/>
  <c r="K20" i="5"/>
  <c r="J20"/>
  <c r="I26"/>
  <c r="H74" i="10"/>
  <c r="K30"/>
  <c r="L28"/>
  <c r="B19" i="8"/>
  <c r="Q20"/>
  <c r="K28" i="11"/>
  <c r="J30"/>
  <c r="N17" i="12"/>
  <c r="L22"/>
  <c r="K19"/>
  <c r="K21" s="1"/>
  <c r="O17" i="13"/>
  <c r="N22"/>
  <c r="N20"/>
  <c r="N19"/>
  <c r="N21" s="1"/>
  <c r="M19"/>
  <c r="M21" s="1"/>
  <c r="L20"/>
  <c r="K20"/>
  <c r="K24" i="14"/>
  <c r="J26"/>
  <c r="J26" i="15"/>
  <c r="K24"/>
  <c r="J17"/>
  <c r="B19"/>
  <c r="M26" i="6"/>
  <c r="N24"/>
  <c r="L30" i="5"/>
  <c r="I53" i="15"/>
  <c r="B53" s="1"/>
  <c r="H26" i="12"/>
  <c r="B26" s="1"/>
  <c r="B24"/>
  <c r="I24"/>
  <c r="G26"/>
  <c r="F62" i="16"/>
  <c r="F64" s="1"/>
  <c r="G56"/>
  <c r="F56"/>
  <c r="G58"/>
  <c r="H53"/>
  <c r="F55"/>
  <c r="F57" s="1"/>
  <c r="H53" i="10"/>
  <c r="G61"/>
  <c r="G58"/>
  <c r="G55"/>
  <c r="G57" s="1"/>
  <c r="G56"/>
  <c r="F58"/>
  <c r="G55" i="9"/>
  <c r="G57" s="1"/>
  <c r="G56"/>
  <c r="H53"/>
  <c r="G61"/>
  <c r="G58"/>
  <c r="F63"/>
  <c r="F62"/>
  <c r="F64" s="1"/>
  <c r="G61" i="16"/>
  <c r="G62" i="6"/>
  <c r="G64" s="1"/>
  <c r="G63"/>
  <c r="H55" i="5"/>
  <c r="H56"/>
  <c r="B56" s="1"/>
  <c r="H61"/>
  <c r="B53"/>
  <c r="H58"/>
  <c r="B58" s="1"/>
  <c r="I53"/>
  <c r="F58" i="8"/>
  <c r="F55"/>
  <c r="F57" s="1"/>
  <c r="F56"/>
  <c r="G53"/>
  <c r="F61"/>
  <c r="G53" i="7"/>
  <c r="F61"/>
  <c r="F55"/>
  <c r="F57" s="1"/>
  <c r="F56"/>
  <c r="F58"/>
  <c r="J63" i="11"/>
  <c r="K55"/>
  <c r="K57" s="1"/>
  <c r="G56" i="12"/>
  <c r="G55"/>
  <c r="G57" s="1"/>
  <c r="G58"/>
  <c r="G61"/>
  <c r="R40" i="13"/>
  <c r="G58"/>
  <c r="B53"/>
  <c r="H58"/>
  <c r="B58" s="1"/>
  <c r="H61"/>
  <c r="I53"/>
  <c r="H56"/>
  <c r="B56" s="1"/>
  <c r="H55"/>
  <c r="F63"/>
  <c r="H63" i="14"/>
  <c r="B63" s="1"/>
  <c r="B61"/>
  <c r="H55"/>
  <c r="H57" s="1"/>
  <c r="G61" i="17"/>
  <c r="G63" s="1"/>
  <c r="F58"/>
  <c r="G56"/>
  <c r="H53"/>
  <c r="F63"/>
  <c r="L20" i="11"/>
  <c r="L22"/>
  <c r="L19"/>
  <c r="L21" s="1"/>
  <c r="M17"/>
  <c r="K20"/>
  <c r="H30" i="12"/>
  <c r="I28"/>
  <c r="B28" s="1"/>
  <c r="B19" i="13"/>
  <c r="B54" i="15"/>
  <c r="I28" i="16"/>
  <c r="N17"/>
  <c r="L22"/>
  <c r="H21"/>
  <c r="B21" s="1"/>
  <c r="I22" i="6"/>
  <c r="I19"/>
  <c r="I21" s="1"/>
  <c r="J17"/>
  <c r="I20"/>
  <c r="H21"/>
  <c r="B21" s="1"/>
  <c r="J26" i="5"/>
  <c r="K24"/>
  <c r="M30"/>
  <c r="N28"/>
  <c r="L17"/>
  <c r="B54" i="14"/>
  <c r="H58" i="16"/>
  <c r="B58" s="1"/>
  <c r="H56"/>
  <c r="B56" s="1"/>
  <c r="H55"/>
  <c r="I53"/>
  <c r="R40"/>
  <c r="H61" i="6"/>
  <c r="I62"/>
  <c r="I64" s="1"/>
  <c r="I63"/>
  <c r="I55"/>
  <c r="I57" s="1"/>
  <c r="J53"/>
  <c r="I58"/>
  <c r="H63"/>
  <c r="B63" s="1"/>
  <c r="B55"/>
  <c r="B57"/>
  <c r="H57" i="5"/>
  <c r="K61" i="11"/>
  <c r="K56"/>
  <c r="L53"/>
  <c r="I63"/>
  <c r="H62"/>
  <c r="B55"/>
  <c r="H57" i="13"/>
  <c r="I61" i="14"/>
  <c r="I56"/>
  <c r="I55"/>
  <c r="I57" s="1"/>
  <c r="J53"/>
  <c r="I58"/>
  <c r="B57"/>
  <c r="I30" i="17"/>
  <c r="J28"/>
  <c r="I26"/>
  <c r="B55" i="14"/>
  <c r="G57" i="15"/>
  <c r="H17" i="17"/>
  <c r="B17"/>
  <c r="G20"/>
  <c r="B20" s="1"/>
  <c r="G19"/>
  <c r="K24"/>
  <c r="J26"/>
  <c r="R40"/>
  <c r="F22"/>
  <c r="F19"/>
  <c r="F21" s="1"/>
  <c r="G16"/>
  <c r="B16" s="1"/>
  <c r="J26" i="16" l="1"/>
  <c r="K24"/>
  <c r="M19"/>
  <c r="M21" s="1"/>
  <c r="M22"/>
  <c r="M20"/>
  <c r="N28" i="6"/>
  <c r="M30"/>
  <c r="I74" i="10"/>
  <c r="B74"/>
  <c r="M28"/>
  <c r="L30"/>
  <c r="L28" i="11"/>
  <c r="K30"/>
  <c r="N19" i="12"/>
  <c r="N21" s="1"/>
  <c r="N22"/>
  <c r="O17"/>
  <c r="N20"/>
  <c r="O20" i="13"/>
  <c r="P17"/>
  <c r="O22"/>
  <c r="O19"/>
  <c r="O21" s="1"/>
  <c r="K26" i="14"/>
  <c r="L24"/>
  <c r="J19" i="15"/>
  <c r="J21" s="1"/>
  <c r="J22"/>
  <c r="K17"/>
  <c r="J20"/>
  <c r="K26"/>
  <c r="L24"/>
  <c r="N26" i="6"/>
  <c r="O24"/>
  <c r="I56" i="15"/>
  <c r="B56" s="1"/>
  <c r="I55"/>
  <c r="I58"/>
  <c r="B58" s="1"/>
  <c r="I61"/>
  <c r="B61" s="1"/>
  <c r="J53"/>
  <c r="J24" i="12"/>
  <c r="I26"/>
  <c r="H57" i="16"/>
  <c r="B53"/>
  <c r="H61"/>
  <c r="B53" i="10"/>
  <c r="H56"/>
  <c r="B56" s="1"/>
  <c r="I53"/>
  <c r="H61"/>
  <c r="H58"/>
  <c r="B58" s="1"/>
  <c r="H55"/>
  <c r="G62"/>
  <c r="G64" s="1"/>
  <c r="G63"/>
  <c r="B53" i="9"/>
  <c r="I53"/>
  <c r="H61"/>
  <c r="H58"/>
  <c r="B58" s="1"/>
  <c r="H55"/>
  <c r="H56"/>
  <c r="B56" s="1"/>
  <c r="G62"/>
  <c r="G64" s="1"/>
  <c r="G63"/>
  <c r="G62" i="16"/>
  <c r="G64" s="1"/>
  <c r="G63"/>
  <c r="B61" i="5"/>
  <c r="H63"/>
  <c r="B63" s="1"/>
  <c r="H62"/>
  <c r="I61"/>
  <c r="I58"/>
  <c r="J53"/>
  <c r="I55"/>
  <c r="I57" s="1"/>
  <c r="B57" s="1"/>
  <c r="I56"/>
  <c r="F63" i="8"/>
  <c r="F62"/>
  <c r="F64" s="1"/>
  <c r="G58"/>
  <c r="G55"/>
  <c r="G57" s="1"/>
  <c r="G56"/>
  <c r="H53"/>
  <c r="G61"/>
  <c r="G61" i="7"/>
  <c r="G58"/>
  <c r="G55"/>
  <c r="G57" s="1"/>
  <c r="G56"/>
  <c r="H53"/>
  <c r="F63"/>
  <c r="F62"/>
  <c r="F64" s="1"/>
  <c r="G62" i="12"/>
  <c r="G64" s="1"/>
  <c r="G63"/>
  <c r="B61" i="13"/>
  <c r="H62"/>
  <c r="H63"/>
  <c r="B63" s="1"/>
  <c r="I56"/>
  <c r="I55"/>
  <c r="I57" s="1"/>
  <c r="B57" s="1"/>
  <c r="J53"/>
  <c r="I61"/>
  <c r="I58"/>
  <c r="G62" i="17"/>
  <c r="G64" s="1"/>
  <c r="H58"/>
  <c r="H61"/>
  <c r="I53"/>
  <c r="B53" s="1"/>
  <c r="H56"/>
  <c r="H55"/>
  <c r="M19" i="11"/>
  <c r="M21" s="1"/>
  <c r="N17"/>
  <c r="M20"/>
  <c r="M22"/>
  <c r="J28" i="12"/>
  <c r="I30"/>
  <c r="B30" s="1"/>
  <c r="I30" i="16"/>
  <c r="J28"/>
  <c r="N19"/>
  <c r="N21" s="1"/>
  <c r="O17"/>
  <c r="N20"/>
  <c r="N22"/>
  <c r="K17" i="6"/>
  <c r="J20"/>
  <c r="J19"/>
  <c r="J21" s="1"/>
  <c r="J22"/>
  <c r="L20" i="5"/>
  <c r="L19"/>
  <c r="L21" s="1"/>
  <c r="L22"/>
  <c r="M17"/>
  <c r="O28"/>
  <c r="N30"/>
  <c r="L24"/>
  <c r="K26"/>
  <c r="I56" i="16"/>
  <c r="J53"/>
  <c r="I61"/>
  <c r="I58"/>
  <c r="I55"/>
  <c r="I57" s="1"/>
  <c r="B61" i="6"/>
  <c r="H62"/>
  <c r="J61"/>
  <c r="J56"/>
  <c r="J55"/>
  <c r="J57" s="1"/>
  <c r="J58"/>
  <c r="K53"/>
  <c r="K63" i="11"/>
  <c r="K62"/>
  <c r="K64" s="1"/>
  <c r="M53"/>
  <c r="L56"/>
  <c r="L55"/>
  <c r="L57" s="1"/>
  <c r="L58"/>
  <c r="L61"/>
  <c r="B62"/>
  <c r="H64"/>
  <c r="B64" s="1"/>
  <c r="I62" i="14"/>
  <c r="I63"/>
  <c r="J56"/>
  <c r="J55"/>
  <c r="J57" s="1"/>
  <c r="K53"/>
  <c r="J61"/>
  <c r="J58"/>
  <c r="K28" i="17"/>
  <c r="J30"/>
  <c r="B19"/>
  <c r="G21"/>
  <c r="B21" s="1"/>
  <c r="G22"/>
  <c r="B22" s="1"/>
  <c r="K26"/>
  <c r="L24"/>
  <c r="H20"/>
  <c r="I17"/>
  <c r="H19"/>
  <c r="H21" s="1"/>
  <c r="H22"/>
  <c r="B55" i="16" l="1"/>
  <c r="B57"/>
  <c r="I64" i="14"/>
  <c r="B64" s="1"/>
  <c r="B62"/>
  <c r="B55" i="13"/>
  <c r="B55" i="5"/>
  <c r="I57" i="15"/>
  <c r="B57" s="1"/>
  <c r="B55"/>
  <c r="L24" i="16"/>
  <c r="K26"/>
  <c r="O28" i="6"/>
  <c r="N30"/>
  <c r="I75" i="10"/>
  <c r="B75"/>
  <c r="M30"/>
  <c r="N28"/>
  <c r="L30" i="11"/>
  <c r="M28"/>
  <c r="O22" i="12"/>
  <c r="O19"/>
  <c r="O21" s="1"/>
  <c r="P17"/>
  <c r="O20"/>
  <c r="P19" i="13"/>
  <c r="P21" s="1"/>
  <c r="P20"/>
  <c r="Q17"/>
  <c r="P22"/>
  <c r="L26" i="14"/>
  <c r="M24"/>
  <c r="L17" i="15"/>
  <c r="K20"/>
  <c r="K22"/>
  <c r="K19"/>
  <c r="K21" s="1"/>
  <c r="L26"/>
  <c r="M24"/>
  <c r="O26" i="6"/>
  <c r="P24"/>
  <c r="J61" i="15"/>
  <c r="J55"/>
  <c r="J57" s="1"/>
  <c r="J56"/>
  <c r="J58"/>
  <c r="K53"/>
  <c r="I62"/>
  <c r="I63"/>
  <c r="B63" s="1"/>
  <c r="R36" i="12"/>
  <c r="H40"/>
  <c r="B36"/>
  <c r="J26"/>
  <c r="K24"/>
  <c r="B61" i="16"/>
  <c r="H63"/>
  <c r="B63" s="1"/>
  <c r="H62"/>
  <c r="I61" i="10"/>
  <c r="I58"/>
  <c r="I55"/>
  <c r="I57" s="1"/>
  <c r="I56"/>
  <c r="J53"/>
  <c r="H57"/>
  <c r="B55"/>
  <c r="B61"/>
  <c r="H62"/>
  <c r="H63"/>
  <c r="B63" s="1"/>
  <c r="H57" i="9"/>
  <c r="B61"/>
  <c r="H63"/>
  <c r="B63" s="1"/>
  <c r="H62"/>
  <c r="I58"/>
  <c r="I55"/>
  <c r="I57" s="1"/>
  <c r="I56"/>
  <c r="J53"/>
  <c r="I61"/>
  <c r="H64" i="5"/>
  <c r="J58"/>
  <c r="K53"/>
  <c r="J61"/>
  <c r="J55"/>
  <c r="J57" s="1"/>
  <c r="J56"/>
  <c r="I62"/>
  <c r="I64" s="1"/>
  <c r="I63"/>
  <c r="G62" i="8"/>
  <c r="G64" s="1"/>
  <c r="G63"/>
  <c r="B53"/>
  <c r="H56"/>
  <c r="B56" s="1"/>
  <c r="I53"/>
  <c r="H61"/>
  <c r="H58"/>
  <c r="B58" s="1"/>
  <c r="H55"/>
  <c r="B53" i="7"/>
  <c r="H55"/>
  <c r="H56"/>
  <c r="B56" s="1"/>
  <c r="I53"/>
  <c r="H61"/>
  <c r="H58"/>
  <c r="B58" s="1"/>
  <c r="G63"/>
  <c r="G62"/>
  <c r="G64" s="1"/>
  <c r="I62" i="13"/>
  <c r="I64" s="1"/>
  <c r="I63"/>
  <c r="J56"/>
  <c r="J55"/>
  <c r="J57" s="1"/>
  <c r="J58"/>
  <c r="J61"/>
  <c r="K53"/>
  <c r="B62"/>
  <c r="H64"/>
  <c r="B64" s="1"/>
  <c r="H57" i="17"/>
  <c r="I56"/>
  <c r="B56" s="1"/>
  <c r="J53"/>
  <c r="I55"/>
  <c r="I57" s="1"/>
  <c r="I61"/>
  <c r="I58"/>
  <c r="B58" s="1"/>
  <c r="B61"/>
  <c r="H63"/>
  <c r="H62"/>
  <c r="N22" i="11"/>
  <c r="N19"/>
  <c r="N21" s="1"/>
  <c r="O17"/>
  <c r="N20"/>
  <c r="J30" i="12"/>
  <c r="K28"/>
  <c r="J30" i="16"/>
  <c r="K28"/>
  <c r="O22"/>
  <c r="O19"/>
  <c r="O21" s="1"/>
  <c r="P17"/>
  <c r="O20"/>
  <c r="K20" i="6"/>
  <c r="L17"/>
  <c r="K22"/>
  <c r="K19"/>
  <c r="K21" s="1"/>
  <c r="L26" i="5"/>
  <c r="M24"/>
  <c r="O30"/>
  <c r="P28"/>
  <c r="M22"/>
  <c r="N17"/>
  <c r="M20"/>
  <c r="M19"/>
  <c r="M21" s="1"/>
  <c r="I62" i="16"/>
  <c r="I64" s="1"/>
  <c r="I63"/>
  <c r="J55"/>
  <c r="J57" s="1"/>
  <c r="J58"/>
  <c r="J56"/>
  <c r="J61"/>
  <c r="K53"/>
  <c r="H64" i="6"/>
  <c r="B64" s="1"/>
  <c r="B62"/>
  <c r="K61"/>
  <c r="K56"/>
  <c r="K55"/>
  <c r="K57" s="1"/>
  <c r="K58"/>
  <c r="L53"/>
  <c r="J62"/>
  <c r="J64" s="1"/>
  <c r="J63"/>
  <c r="L62" i="11"/>
  <c r="L64" s="1"/>
  <c r="L63"/>
  <c r="M56"/>
  <c r="M55"/>
  <c r="M57" s="1"/>
  <c r="N53"/>
  <c r="M61"/>
  <c r="M58"/>
  <c r="K55" i="14"/>
  <c r="K57" s="1"/>
  <c r="L53"/>
  <c r="K56"/>
  <c r="K58"/>
  <c r="K61"/>
  <c r="J63"/>
  <c r="J62"/>
  <c r="J64" s="1"/>
  <c r="L28" i="17"/>
  <c r="K30"/>
  <c r="J17"/>
  <c r="I19"/>
  <c r="I21" s="1"/>
  <c r="I22"/>
  <c r="I20"/>
  <c r="M24"/>
  <c r="L26"/>
  <c r="B57" i="10" l="1"/>
  <c r="B55" i="9"/>
  <c r="B57"/>
  <c r="B62" i="5"/>
  <c r="B64"/>
  <c r="I64" i="15"/>
  <c r="B64" s="1"/>
  <c r="B62"/>
  <c r="B55" i="17"/>
  <c r="B57"/>
  <c r="M24" i="16"/>
  <c r="L26"/>
  <c r="P28" i="6"/>
  <c r="O30"/>
  <c r="O28" i="10"/>
  <c r="N30"/>
  <c r="N28" i="11"/>
  <c r="M30"/>
  <c r="P20" i="12"/>
  <c r="Q17"/>
  <c r="P19"/>
  <c r="P21" s="1"/>
  <c r="P22"/>
  <c r="Q19" i="13"/>
  <c r="Q21" s="1"/>
  <c r="Q22"/>
  <c r="Q20"/>
  <c r="M26" i="14"/>
  <c r="N24"/>
  <c r="L20" i="15"/>
  <c r="M17"/>
  <c r="L19"/>
  <c r="L21" s="1"/>
  <c r="L22"/>
  <c r="N24"/>
  <c r="M26"/>
  <c r="P26" i="6"/>
  <c r="Q24"/>
  <c r="Q26" s="1"/>
  <c r="L53" i="15"/>
  <c r="K55"/>
  <c r="K57" s="1"/>
  <c r="K61"/>
  <c r="K56"/>
  <c r="K58"/>
  <c r="J63"/>
  <c r="J62"/>
  <c r="J64" s="1"/>
  <c r="L24" i="12"/>
  <c r="K26"/>
  <c r="R40"/>
  <c r="B40"/>
  <c r="H53"/>
  <c r="B62" i="16"/>
  <c r="H64"/>
  <c r="B64" s="1"/>
  <c r="B62" i="10"/>
  <c r="H64"/>
  <c r="J58"/>
  <c r="J55"/>
  <c r="J57" s="1"/>
  <c r="J56"/>
  <c r="K53"/>
  <c r="J61"/>
  <c r="I62"/>
  <c r="I64" s="1"/>
  <c r="I63"/>
  <c r="J56" i="9"/>
  <c r="K53"/>
  <c r="J61"/>
  <c r="J58"/>
  <c r="J55"/>
  <c r="J57" s="1"/>
  <c r="H64"/>
  <c r="I62"/>
  <c r="I64" s="1"/>
  <c r="I63"/>
  <c r="J62" i="5"/>
  <c r="J64" s="1"/>
  <c r="J63"/>
  <c r="K61"/>
  <c r="K58"/>
  <c r="L53"/>
  <c r="K56"/>
  <c r="K55"/>
  <c r="K57" s="1"/>
  <c r="I55" i="8"/>
  <c r="I57" s="1"/>
  <c r="I56"/>
  <c r="J53"/>
  <c r="I61"/>
  <c r="I58"/>
  <c r="B55"/>
  <c r="H57"/>
  <c r="B57" s="1"/>
  <c r="B61"/>
  <c r="H62"/>
  <c r="H63"/>
  <c r="B63" s="1"/>
  <c r="B61" i="7"/>
  <c r="H62"/>
  <c r="H63"/>
  <c r="B63" s="1"/>
  <c r="J53"/>
  <c r="I61"/>
  <c r="I58"/>
  <c r="I55"/>
  <c r="I57" s="1"/>
  <c r="I56"/>
  <c r="B55"/>
  <c r="H57"/>
  <c r="K55" i="13"/>
  <c r="K57" s="1"/>
  <c r="K58"/>
  <c r="K61"/>
  <c r="L53"/>
  <c r="K56"/>
  <c r="J62"/>
  <c r="J64" s="1"/>
  <c r="J63"/>
  <c r="H64" i="17"/>
  <c r="I62"/>
  <c r="I64" s="1"/>
  <c r="I63"/>
  <c r="B63" s="1"/>
  <c r="J61"/>
  <c r="J56"/>
  <c r="J58"/>
  <c r="J55"/>
  <c r="J57" s="1"/>
  <c r="K53"/>
  <c r="P17" i="11"/>
  <c r="O20"/>
  <c r="O22"/>
  <c r="O19"/>
  <c r="O21" s="1"/>
  <c r="L28" i="12"/>
  <c r="K30"/>
  <c r="L28" i="16"/>
  <c r="K30"/>
  <c r="P19"/>
  <c r="P21" s="1"/>
  <c r="Q17"/>
  <c r="P20"/>
  <c r="P22"/>
  <c r="M17" i="6"/>
  <c r="L19"/>
  <c r="L21" s="1"/>
  <c r="L22"/>
  <c r="L20"/>
  <c r="N20" i="5"/>
  <c r="N19"/>
  <c r="N21" s="1"/>
  <c r="N22"/>
  <c r="O17"/>
  <c r="P30"/>
  <c r="Q28"/>
  <c r="Q30" s="1"/>
  <c r="N24"/>
  <c r="M26"/>
  <c r="K56" i="16"/>
  <c r="L53"/>
  <c r="K61"/>
  <c r="K58"/>
  <c r="K55"/>
  <c r="K57" s="1"/>
  <c r="J62"/>
  <c r="J64" s="1"/>
  <c r="J63"/>
  <c r="L55" i="6"/>
  <c r="L57" s="1"/>
  <c r="L56"/>
  <c r="L58"/>
  <c r="L61"/>
  <c r="M53"/>
  <c r="K62"/>
  <c r="K64" s="1"/>
  <c r="K63"/>
  <c r="N61" i="11"/>
  <c r="O53"/>
  <c r="N56"/>
  <c r="N55"/>
  <c r="N57" s="1"/>
  <c r="N58"/>
  <c r="M63"/>
  <c r="M62"/>
  <c r="M64" s="1"/>
  <c r="K62" i="14"/>
  <c r="K64" s="1"/>
  <c r="K63"/>
  <c r="L58"/>
  <c r="L61"/>
  <c r="M53"/>
  <c r="L56"/>
  <c r="L55"/>
  <c r="L57" s="1"/>
  <c r="L30" i="17"/>
  <c r="M28"/>
  <c r="N24"/>
  <c r="M26"/>
  <c r="K17"/>
  <c r="J19"/>
  <c r="J21" s="1"/>
  <c r="J22"/>
  <c r="J20"/>
  <c r="B64" i="10" l="1"/>
  <c r="B64" i="9"/>
  <c r="B62"/>
  <c r="B57" i="7"/>
  <c r="B62" i="17"/>
  <c r="B64"/>
  <c r="N24" i="16"/>
  <c r="M26"/>
  <c r="P30" i="6"/>
  <c r="Q28"/>
  <c r="Q30" s="1"/>
  <c r="P28" i="10"/>
  <c r="O30"/>
  <c r="O28" i="11"/>
  <c r="N30"/>
  <c r="Q20" i="12"/>
  <c r="Q22"/>
  <c r="Q19"/>
  <c r="Q21" s="1"/>
  <c r="N26" i="14"/>
  <c r="O24"/>
  <c r="N26" i="15"/>
  <c r="O24"/>
  <c r="M20"/>
  <c r="N17"/>
  <c r="M19"/>
  <c r="M21" s="1"/>
  <c r="M22"/>
  <c r="K63"/>
  <c r="K62"/>
  <c r="K64" s="1"/>
  <c r="M53"/>
  <c r="L55"/>
  <c r="L57" s="1"/>
  <c r="L61"/>
  <c r="L56"/>
  <c r="L58"/>
  <c r="H58" i="12"/>
  <c r="B58" s="1"/>
  <c r="I53"/>
  <c r="H55"/>
  <c r="B53"/>
  <c r="H61"/>
  <c r="H56"/>
  <c r="B56" s="1"/>
  <c r="M24"/>
  <c r="L26"/>
  <c r="J62" i="10"/>
  <c r="J64" s="1"/>
  <c r="J63"/>
  <c r="K58"/>
  <c r="K55"/>
  <c r="K57" s="1"/>
  <c r="K56"/>
  <c r="L53"/>
  <c r="K61"/>
  <c r="J63" i="9"/>
  <c r="J62"/>
  <c r="J64" s="1"/>
  <c r="K55"/>
  <c r="K57" s="1"/>
  <c r="K56"/>
  <c r="L53"/>
  <c r="K61"/>
  <c r="K58"/>
  <c r="L61" i="5"/>
  <c r="L55"/>
  <c r="L57" s="1"/>
  <c r="L56"/>
  <c r="L58"/>
  <c r="M53"/>
  <c r="K63"/>
  <c r="K62"/>
  <c r="K64" s="1"/>
  <c r="H64" i="8"/>
  <c r="K53"/>
  <c r="J61"/>
  <c r="J58"/>
  <c r="J55"/>
  <c r="J57" s="1"/>
  <c r="J56"/>
  <c r="I62"/>
  <c r="I64" s="1"/>
  <c r="I63"/>
  <c r="I62" i="7"/>
  <c r="I64" s="1"/>
  <c r="I63"/>
  <c r="K53"/>
  <c r="J61"/>
  <c r="J58"/>
  <c r="J55"/>
  <c r="J57" s="1"/>
  <c r="J56"/>
  <c r="B62"/>
  <c r="H64"/>
  <c r="B64" s="1"/>
  <c r="K62" i="13"/>
  <c r="K64" s="1"/>
  <c r="K63"/>
  <c r="L58"/>
  <c r="L61"/>
  <c r="M53"/>
  <c r="L56"/>
  <c r="L55"/>
  <c r="L57" s="1"/>
  <c r="K55" i="17"/>
  <c r="K57" s="1"/>
  <c r="K56"/>
  <c r="K61"/>
  <c r="K58"/>
  <c r="L53"/>
  <c r="J63"/>
  <c r="J62"/>
  <c r="J64" s="1"/>
  <c r="P19" i="11"/>
  <c r="P21" s="1"/>
  <c r="Q17"/>
  <c r="P20"/>
  <c r="P22"/>
  <c r="L30" i="12"/>
  <c r="M28"/>
  <c r="M28" i="16"/>
  <c r="L30"/>
  <c r="Q19"/>
  <c r="Q21" s="1"/>
  <c r="Q22"/>
  <c r="Q20"/>
  <c r="M22" i="6"/>
  <c r="M19"/>
  <c r="M21" s="1"/>
  <c r="N17"/>
  <c r="M20"/>
  <c r="N26" i="5"/>
  <c r="O24"/>
  <c r="O22"/>
  <c r="P17"/>
  <c r="O19"/>
  <c r="O21" s="1"/>
  <c r="O20"/>
  <c r="K63" i="16"/>
  <c r="K62"/>
  <c r="K64" s="1"/>
  <c r="L55"/>
  <c r="L57" s="1"/>
  <c r="L56"/>
  <c r="M53"/>
  <c r="L61"/>
  <c r="L58"/>
  <c r="M61" i="6"/>
  <c r="M56"/>
  <c r="M58"/>
  <c r="N53"/>
  <c r="M55"/>
  <c r="M57" s="1"/>
  <c r="L62"/>
  <c r="L64" s="1"/>
  <c r="L63"/>
  <c r="N63" i="11"/>
  <c r="N62"/>
  <c r="N64" s="1"/>
  <c r="O55"/>
  <c r="O57" s="1"/>
  <c r="O61"/>
  <c r="P53"/>
  <c r="O58"/>
  <c r="O56"/>
  <c r="M61" i="14"/>
  <c r="M58"/>
  <c r="M56"/>
  <c r="M55"/>
  <c r="M57" s="1"/>
  <c r="N53"/>
  <c r="L63"/>
  <c r="L62"/>
  <c r="L64" s="1"/>
  <c r="M30" i="17"/>
  <c r="N28"/>
  <c r="L17"/>
  <c r="K19"/>
  <c r="K21" s="1"/>
  <c r="K22"/>
  <c r="K20"/>
  <c r="O24"/>
  <c r="N26"/>
  <c r="B62" i="8" l="1"/>
  <c r="B64"/>
  <c r="N26" i="16"/>
  <c r="O24"/>
  <c r="Q28" i="10"/>
  <c r="Q30" s="1"/>
  <c r="P30"/>
  <c r="O30" i="11"/>
  <c r="P28"/>
  <c r="O26" i="14"/>
  <c r="P24"/>
  <c r="O17" i="15"/>
  <c r="N20"/>
  <c r="N19"/>
  <c r="N21" s="1"/>
  <c r="N22"/>
  <c r="O26"/>
  <c r="P24"/>
  <c r="L63"/>
  <c r="L62"/>
  <c r="L64" s="1"/>
  <c r="M56"/>
  <c r="M58"/>
  <c r="N53"/>
  <c r="M55"/>
  <c r="M57" s="1"/>
  <c r="M61"/>
  <c r="M26" i="12"/>
  <c r="N24"/>
  <c r="B61"/>
  <c r="H62"/>
  <c r="H63"/>
  <c r="B63" s="1"/>
  <c r="H57"/>
  <c r="I55"/>
  <c r="I57" s="1"/>
  <c r="I61"/>
  <c r="I56"/>
  <c r="J53"/>
  <c r="I58"/>
  <c r="K63" i="10"/>
  <c r="K62"/>
  <c r="K64" s="1"/>
  <c r="L61"/>
  <c r="L58"/>
  <c r="L55"/>
  <c r="L57" s="1"/>
  <c r="L56"/>
  <c r="M53"/>
  <c r="M53" i="9"/>
  <c r="L61"/>
  <c r="L58"/>
  <c r="L55"/>
  <c r="L57" s="1"/>
  <c r="L56"/>
  <c r="K63"/>
  <c r="K62"/>
  <c r="K64" s="1"/>
  <c r="M56" i="5"/>
  <c r="N53"/>
  <c r="M55"/>
  <c r="M57" s="1"/>
  <c r="M61"/>
  <c r="M58"/>
  <c r="L62"/>
  <c r="L64" s="1"/>
  <c r="L63"/>
  <c r="K58" i="8"/>
  <c r="K55"/>
  <c r="K57" s="1"/>
  <c r="K56"/>
  <c r="L53"/>
  <c r="K61"/>
  <c r="J63"/>
  <c r="J62"/>
  <c r="J64" s="1"/>
  <c r="K61" i="7"/>
  <c r="K58"/>
  <c r="K55"/>
  <c r="K57" s="1"/>
  <c r="K56"/>
  <c r="L53"/>
  <c r="J63"/>
  <c r="J62"/>
  <c r="J64" s="1"/>
  <c r="M56" i="13"/>
  <c r="M55"/>
  <c r="M57" s="1"/>
  <c r="M58"/>
  <c r="M61"/>
  <c r="N53"/>
  <c r="L63"/>
  <c r="L62"/>
  <c r="L64" s="1"/>
  <c r="M53" i="17"/>
  <c r="L61"/>
  <c r="L55"/>
  <c r="L57" s="1"/>
  <c r="L58"/>
  <c r="L56"/>
  <c r="K62"/>
  <c r="K64" s="1"/>
  <c r="K63"/>
  <c r="Q20" i="11"/>
  <c r="Q19"/>
  <c r="Q21" s="1"/>
  <c r="Q22"/>
  <c r="N28" i="12"/>
  <c r="M30"/>
  <c r="N28" i="16"/>
  <c r="M30"/>
  <c r="O17" i="6"/>
  <c r="N19"/>
  <c r="N21" s="1"/>
  <c r="N22"/>
  <c r="N20"/>
  <c r="P19" i="5"/>
  <c r="P21" s="1"/>
  <c r="P22"/>
  <c r="Q17"/>
  <c r="P20"/>
  <c r="O26"/>
  <c r="P24"/>
  <c r="M56" i="16"/>
  <c r="N53"/>
  <c r="M55"/>
  <c r="M57" s="1"/>
  <c r="M58"/>
  <c r="M61"/>
  <c r="L62"/>
  <c r="L64" s="1"/>
  <c r="L63"/>
  <c r="M62" i="6"/>
  <c r="M64" s="1"/>
  <c r="M63"/>
  <c r="N61"/>
  <c r="N56"/>
  <c r="N55"/>
  <c r="N57" s="1"/>
  <c r="N58"/>
  <c r="O53"/>
  <c r="Q53" i="11"/>
  <c r="P55"/>
  <c r="P57" s="1"/>
  <c r="P61"/>
  <c r="P56"/>
  <c r="P58"/>
  <c r="O63"/>
  <c r="O62"/>
  <c r="O64" s="1"/>
  <c r="N56" i="14"/>
  <c r="N55"/>
  <c r="N57" s="1"/>
  <c r="O53"/>
  <c r="N61"/>
  <c r="N58"/>
  <c r="M62"/>
  <c r="M64" s="1"/>
  <c r="M63"/>
  <c r="N30" i="17"/>
  <c r="O28"/>
  <c r="P24"/>
  <c r="O26"/>
  <c r="L19"/>
  <c r="L21" s="1"/>
  <c r="L22"/>
  <c r="L20"/>
  <c r="M17"/>
  <c r="B57" i="12" l="1"/>
  <c r="B55"/>
  <c r="P24" i="16"/>
  <c r="O26"/>
  <c r="P30" i="11"/>
  <c r="Q28"/>
  <c r="Q30" s="1"/>
  <c r="P26" i="14"/>
  <c r="Q24"/>
  <c r="Q26" s="1"/>
  <c r="O22" i="15"/>
  <c r="O19"/>
  <c r="O21" s="1"/>
  <c r="P17"/>
  <c r="O20"/>
  <c r="Q24"/>
  <c r="Q26" s="1"/>
  <c r="P26"/>
  <c r="M63"/>
  <c r="M62"/>
  <c r="M64" s="1"/>
  <c r="N56"/>
  <c r="N58"/>
  <c r="O53"/>
  <c r="N55"/>
  <c r="N57" s="1"/>
  <c r="N61"/>
  <c r="K53" i="12"/>
  <c r="J55"/>
  <c r="J57" s="1"/>
  <c r="J61"/>
  <c r="J56"/>
  <c r="J58"/>
  <c r="I62"/>
  <c r="I64" s="1"/>
  <c r="I63"/>
  <c r="H64"/>
  <c r="B64" s="1"/>
  <c r="O24"/>
  <c r="N26"/>
  <c r="M55" i="10"/>
  <c r="M57" s="1"/>
  <c r="M56"/>
  <c r="N53"/>
  <c r="M61"/>
  <c r="M58"/>
  <c r="L63"/>
  <c r="L62"/>
  <c r="L64" s="1"/>
  <c r="N53" i="9"/>
  <c r="M61"/>
  <c r="M58"/>
  <c r="M55"/>
  <c r="M57" s="1"/>
  <c r="M56"/>
  <c r="L63"/>
  <c r="L62"/>
  <c r="L64" s="1"/>
  <c r="M63" i="5"/>
  <c r="M62"/>
  <c r="M64" s="1"/>
  <c r="O53"/>
  <c r="N55"/>
  <c r="N57" s="1"/>
  <c r="N61"/>
  <c r="N58"/>
  <c r="N56"/>
  <c r="K62" i="8"/>
  <c r="K64" s="1"/>
  <c r="K63"/>
  <c r="L61"/>
  <c r="L58"/>
  <c r="L55"/>
  <c r="L57" s="1"/>
  <c r="L56"/>
  <c r="M53"/>
  <c r="L61" i="7"/>
  <c r="L58"/>
  <c r="L55"/>
  <c r="L57" s="1"/>
  <c r="L56"/>
  <c r="M53"/>
  <c r="K63"/>
  <c r="K62"/>
  <c r="K64" s="1"/>
  <c r="N61" i="13"/>
  <c r="O53"/>
  <c r="N56"/>
  <c r="N55"/>
  <c r="N57" s="1"/>
  <c r="N58"/>
  <c r="M63"/>
  <c r="M62"/>
  <c r="M64" s="1"/>
  <c r="M55" i="17"/>
  <c r="M57" s="1"/>
  <c r="M56"/>
  <c r="M58"/>
  <c r="M61"/>
  <c r="N53"/>
  <c r="L62"/>
  <c r="L64" s="1"/>
  <c r="L63"/>
  <c r="N30" i="12"/>
  <c r="O28"/>
  <c r="N30" i="16"/>
  <c r="O28"/>
  <c r="O22" i="6"/>
  <c r="O19"/>
  <c r="O21" s="1"/>
  <c r="P17"/>
  <c r="O20"/>
  <c r="Q22" i="5"/>
  <c r="Q19"/>
  <c r="Q21" s="1"/>
  <c r="Q20"/>
  <c r="Q24"/>
  <c r="Q26" s="1"/>
  <c r="P26"/>
  <c r="M63" i="16"/>
  <c r="M62"/>
  <c r="M64" s="1"/>
  <c r="N55"/>
  <c r="N57" s="1"/>
  <c r="N56"/>
  <c r="N61"/>
  <c r="N58"/>
  <c r="O53"/>
  <c r="O61" i="6"/>
  <c r="O58"/>
  <c r="P53"/>
  <c r="O55"/>
  <c r="O57" s="1"/>
  <c r="O56"/>
  <c r="N62"/>
  <c r="N64" s="1"/>
  <c r="N63"/>
  <c r="P62" i="11"/>
  <c r="P64" s="1"/>
  <c r="P63"/>
  <c r="Q56"/>
  <c r="Q58"/>
  <c r="Q55"/>
  <c r="Q57" s="1"/>
  <c r="Q61"/>
  <c r="O58" i="14"/>
  <c r="O61"/>
  <c r="O55"/>
  <c r="O57" s="1"/>
  <c r="P53"/>
  <c r="O56"/>
  <c r="N62"/>
  <c r="N64" s="1"/>
  <c r="N63"/>
  <c r="P28" i="17"/>
  <c r="O30"/>
  <c r="Q24"/>
  <c r="Q26" s="1"/>
  <c r="P26"/>
  <c r="M19"/>
  <c r="M21" s="1"/>
  <c r="M22"/>
  <c r="M20"/>
  <c r="N17"/>
  <c r="B62" i="12" l="1"/>
  <c r="P26" i="16"/>
  <c r="Q24"/>
  <c r="Q26" s="1"/>
  <c r="P19" i="15"/>
  <c r="P21" s="1"/>
  <c r="Q17"/>
  <c r="P20"/>
  <c r="P22"/>
  <c r="N63"/>
  <c r="N62"/>
  <c r="N64" s="1"/>
  <c r="O55"/>
  <c r="O57" s="1"/>
  <c r="O61"/>
  <c r="O56"/>
  <c r="O58"/>
  <c r="P53"/>
  <c r="J62" i="12"/>
  <c r="J64" s="1"/>
  <c r="J63"/>
  <c r="K58"/>
  <c r="K55"/>
  <c r="K57" s="1"/>
  <c r="K56"/>
  <c r="K61"/>
  <c r="L53"/>
  <c r="P24"/>
  <c r="O26"/>
  <c r="O53" i="10"/>
  <c r="N61"/>
  <c r="N58"/>
  <c r="N55"/>
  <c r="N57" s="1"/>
  <c r="N56"/>
  <c r="M62"/>
  <c r="M64" s="1"/>
  <c r="M63"/>
  <c r="N61" i="9"/>
  <c r="N58"/>
  <c r="N55"/>
  <c r="N57" s="1"/>
  <c r="N56"/>
  <c r="O53"/>
  <c r="M62"/>
  <c r="M64" s="1"/>
  <c r="M63"/>
  <c r="N63" i="5"/>
  <c r="N62"/>
  <c r="N64" s="1"/>
  <c r="O58"/>
  <c r="O56"/>
  <c r="O61"/>
  <c r="P53"/>
  <c r="O55"/>
  <c r="O57" s="1"/>
  <c r="M61" i="8"/>
  <c r="M58"/>
  <c r="M55"/>
  <c r="M57" s="1"/>
  <c r="M56"/>
  <c r="N53"/>
  <c r="L62"/>
  <c r="L64" s="1"/>
  <c r="L63"/>
  <c r="M58" i="7"/>
  <c r="M55"/>
  <c r="M57" s="1"/>
  <c r="M56"/>
  <c r="N53"/>
  <c r="M61"/>
  <c r="L62"/>
  <c r="L64" s="1"/>
  <c r="L63"/>
  <c r="N62" i="13"/>
  <c r="N64" s="1"/>
  <c r="N63"/>
  <c r="P53"/>
  <c r="O56"/>
  <c r="O55"/>
  <c r="O57" s="1"/>
  <c r="O58"/>
  <c r="O61"/>
  <c r="N61" i="17"/>
  <c r="N58"/>
  <c r="O53"/>
  <c r="N56"/>
  <c r="N55"/>
  <c r="N57" s="1"/>
  <c r="M63"/>
  <c r="M62"/>
  <c r="M64" s="1"/>
  <c r="P28" i="12"/>
  <c r="O30"/>
  <c r="P28" i="16"/>
  <c r="O30"/>
  <c r="Q17" i="6"/>
  <c r="P19"/>
  <c r="P21" s="1"/>
  <c r="P22"/>
  <c r="P20"/>
  <c r="O55" i="16"/>
  <c r="O57" s="1"/>
  <c r="O56"/>
  <c r="O58"/>
  <c r="P53"/>
  <c r="O61"/>
  <c r="N62"/>
  <c r="N64" s="1"/>
  <c r="N63"/>
  <c r="P61" i="6"/>
  <c r="P55"/>
  <c r="P57" s="1"/>
  <c r="P58"/>
  <c r="Q53"/>
  <c r="P56"/>
  <c r="O62"/>
  <c r="O64" s="1"/>
  <c r="O63"/>
  <c r="Q62" i="11"/>
  <c r="Q64" s="1"/>
  <c r="Q63"/>
  <c r="Q53" i="14"/>
  <c r="P56"/>
  <c r="P55"/>
  <c r="P57" s="1"/>
  <c r="P58"/>
  <c r="P61"/>
  <c r="O62"/>
  <c r="O64" s="1"/>
  <c r="O63"/>
  <c r="P30" i="17"/>
  <c r="Q28"/>
  <c r="Q30" s="1"/>
  <c r="O17"/>
  <c r="N19"/>
  <c r="N21" s="1"/>
  <c r="N22"/>
  <c r="N20"/>
  <c r="Q20" i="15" l="1"/>
  <c r="Q22"/>
  <c r="Q19"/>
  <c r="Q21" s="1"/>
  <c r="Q53"/>
  <c r="P55"/>
  <c r="P57" s="1"/>
  <c r="P61"/>
  <c r="P56"/>
  <c r="P58"/>
  <c r="O63"/>
  <c r="O62"/>
  <c r="O64" s="1"/>
  <c r="L58" i="12"/>
  <c r="M53"/>
  <c r="L55"/>
  <c r="L57" s="1"/>
  <c r="L61"/>
  <c r="L56"/>
  <c r="Q24"/>
  <c r="Q26" s="1"/>
  <c r="P26"/>
  <c r="K63"/>
  <c r="K62"/>
  <c r="K64" s="1"/>
  <c r="P53" i="10"/>
  <c r="O61"/>
  <c r="O58"/>
  <c r="O55"/>
  <c r="O57" s="1"/>
  <c r="O56"/>
  <c r="N62"/>
  <c r="N64" s="1"/>
  <c r="N63"/>
  <c r="O61" i="9"/>
  <c r="O56"/>
  <c r="P53"/>
  <c r="O55"/>
  <c r="O57" s="1"/>
  <c r="O58"/>
  <c r="N62"/>
  <c r="N64" s="1"/>
  <c r="N63"/>
  <c r="O62" i="5"/>
  <c r="O64" s="1"/>
  <c r="O63"/>
  <c r="P61"/>
  <c r="P55"/>
  <c r="P57" s="1"/>
  <c r="Q53"/>
  <c r="P56"/>
  <c r="P58"/>
  <c r="N58" i="8"/>
  <c r="N55"/>
  <c r="N57" s="1"/>
  <c r="N56"/>
  <c r="O53"/>
  <c r="N61"/>
  <c r="M62"/>
  <c r="M64" s="1"/>
  <c r="M63"/>
  <c r="M63" i="7"/>
  <c r="M62"/>
  <c r="M64" s="1"/>
  <c r="N58"/>
  <c r="N55"/>
  <c r="N57" s="1"/>
  <c r="N56"/>
  <c r="O53"/>
  <c r="N61"/>
  <c r="O63" i="13"/>
  <c r="O62"/>
  <c r="O64" s="1"/>
  <c r="P58"/>
  <c r="P61"/>
  <c r="Q53"/>
  <c r="P56"/>
  <c r="P55"/>
  <c r="P57" s="1"/>
  <c r="O56" i="17"/>
  <c r="P53"/>
  <c r="O55"/>
  <c r="O57" s="1"/>
  <c r="O61"/>
  <c r="O58"/>
  <c r="N63"/>
  <c r="N62"/>
  <c r="N64" s="1"/>
  <c r="Q28" i="12"/>
  <c r="Q30" s="1"/>
  <c r="P30"/>
  <c r="Q28" i="16"/>
  <c r="Q30" s="1"/>
  <c r="P30"/>
  <c r="Q22" i="6"/>
  <c r="Q19"/>
  <c r="Q21" s="1"/>
  <c r="Q20"/>
  <c r="O63" i="16"/>
  <c r="O62"/>
  <c r="O64" s="1"/>
  <c r="Q53"/>
  <c r="P56"/>
  <c r="P55"/>
  <c r="P57" s="1"/>
  <c r="P61"/>
  <c r="P58"/>
  <c r="P62" i="6"/>
  <c r="P64" s="1"/>
  <c r="P63"/>
  <c r="Q61"/>
  <c r="Q56"/>
  <c r="Q58"/>
  <c r="Q55"/>
  <c r="Q57" s="1"/>
  <c r="P63" i="14"/>
  <c r="P62"/>
  <c r="P64" s="1"/>
  <c r="Q61"/>
  <c r="Q56"/>
  <c r="Q55"/>
  <c r="Q57" s="1"/>
  <c r="Q58"/>
  <c r="P17" i="17"/>
  <c r="O19"/>
  <c r="O21" s="1"/>
  <c r="O22"/>
  <c r="O20"/>
  <c r="P62" i="15" l="1"/>
  <c r="P64" s="1"/>
  <c r="P63"/>
  <c r="Q61"/>
  <c r="Q56"/>
  <c r="Q58"/>
  <c r="Q55"/>
  <c r="Q57" s="1"/>
  <c r="L62" i="12"/>
  <c r="L64" s="1"/>
  <c r="L63"/>
  <c r="N53"/>
  <c r="M55"/>
  <c r="M57" s="1"/>
  <c r="M61"/>
  <c r="M56"/>
  <c r="M58"/>
  <c r="P61" i="10"/>
  <c r="P58"/>
  <c r="P55"/>
  <c r="P57" s="1"/>
  <c r="P56"/>
  <c r="Q53"/>
  <c r="O62"/>
  <c r="O64" s="1"/>
  <c r="O63"/>
  <c r="Q53" i="9"/>
  <c r="P61"/>
  <c r="P58"/>
  <c r="P55"/>
  <c r="P57" s="1"/>
  <c r="P56"/>
  <c r="O63"/>
  <c r="O62"/>
  <c r="O64" s="1"/>
  <c r="Q58" i="5"/>
  <c r="Q61"/>
  <c r="Q55"/>
  <c r="Q57" s="1"/>
  <c r="Q56"/>
  <c r="P63"/>
  <c r="P62"/>
  <c r="P64" s="1"/>
  <c r="N63" i="8"/>
  <c r="N62"/>
  <c r="N64" s="1"/>
  <c r="O58"/>
  <c r="O55"/>
  <c r="O57" s="1"/>
  <c r="O56"/>
  <c r="P53"/>
  <c r="O61"/>
  <c r="N62" i="7"/>
  <c r="N64" s="1"/>
  <c r="N63"/>
  <c r="O61"/>
  <c r="O58"/>
  <c r="O55"/>
  <c r="O57" s="1"/>
  <c r="O56"/>
  <c r="P53"/>
  <c r="Q56" i="13"/>
  <c r="Q55"/>
  <c r="Q57" s="1"/>
  <c r="Q58"/>
  <c r="Q61"/>
  <c r="P62"/>
  <c r="P64" s="1"/>
  <c r="P63"/>
  <c r="O63" i="17"/>
  <c r="O62"/>
  <c r="O64" s="1"/>
  <c r="Q53"/>
  <c r="P58"/>
  <c r="P55"/>
  <c r="P57" s="1"/>
  <c r="P56"/>
  <c r="P61"/>
  <c r="Q61" i="16"/>
  <c r="Q56"/>
  <c r="Q55"/>
  <c r="Q57" s="1"/>
  <c r="Q58"/>
  <c r="P62"/>
  <c r="P64" s="1"/>
  <c r="P63"/>
  <c r="Q63" i="6"/>
  <c r="Q62"/>
  <c r="Q64" s="1"/>
  <c r="Q62" i="14"/>
  <c r="Q64" s="1"/>
  <c r="Q63"/>
  <c r="P19" i="17"/>
  <c r="P21" s="1"/>
  <c r="P22"/>
  <c r="P20"/>
  <c r="Q17"/>
  <c r="Q63" i="15" l="1"/>
  <c r="Q62"/>
  <c r="Q64" s="1"/>
  <c r="M63" i="12"/>
  <c r="M62"/>
  <c r="M64" s="1"/>
  <c r="O53"/>
  <c r="N55"/>
  <c r="N57" s="1"/>
  <c r="N61"/>
  <c r="N56"/>
  <c r="N58"/>
  <c r="Q55" i="10"/>
  <c r="Q57" s="1"/>
  <c r="Q56"/>
  <c r="Q61"/>
  <c r="Q58"/>
  <c r="P63"/>
  <c r="P62"/>
  <c r="P64" s="1"/>
  <c r="Q55" i="9"/>
  <c r="Q57" s="1"/>
  <c r="Q56"/>
  <c r="Q58"/>
  <c r="Q61"/>
  <c r="P63"/>
  <c r="P62"/>
  <c r="P64" s="1"/>
  <c r="Q62" i="5"/>
  <c r="Q64" s="1"/>
  <c r="Q63"/>
  <c r="O63" i="8"/>
  <c r="O62"/>
  <c r="O64" s="1"/>
  <c r="P56"/>
  <c r="Q53"/>
  <c r="P61"/>
  <c r="P58"/>
  <c r="P55"/>
  <c r="P57" s="1"/>
  <c r="P61" i="7"/>
  <c r="P58"/>
  <c r="P55"/>
  <c r="P57" s="1"/>
  <c r="P56"/>
  <c r="Q53"/>
  <c r="O62"/>
  <c r="O64" s="1"/>
  <c r="O63"/>
  <c r="Q62" i="13"/>
  <c r="Q64" s="1"/>
  <c r="Q63"/>
  <c r="P63" i="17"/>
  <c r="P62"/>
  <c r="P64" s="1"/>
  <c r="Q58"/>
  <c r="Q61"/>
  <c r="Q55"/>
  <c r="Q57" s="1"/>
  <c r="Q56"/>
  <c r="Q62" i="16"/>
  <c r="Q64" s="1"/>
  <c r="Q63"/>
  <c r="Q19" i="17"/>
  <c r="Q21" s="1"/>
  <c r="Q22"/>
  <c r="Q20"/>
  <c r="N63" i="12" l="1"/>
  <c r="N62"/>
  <c r="N64" s="1"/>
  <c r="O56"/>
  <c r="O58"/>
  <c r="P53"/>
  <c r="O55"/>
  <c r="O57" s="1"/>
  <c r="O61"/>
  <c r="Q62" i="10"/>
  <c r="Q64" s="1"/>
  <c r="Q63"/>
  <c r="Q63" i="9"/>
  <c r="Q62"/>
  <c r="Q64" s="1"/>
  <c r="P62" i="8"/>
  <c r="P64" s="1"/>
  <c r="P63"/>
  <c r="Q61"/>
  <c r="Q58"/>
  <c r="Q55"/>
  <c r="Q57" s="1"/>
  <c r="Q56"/>
  <c r="Q58" i="7"/>
  <c r="Q56"/>
  <c r="Q61"/>
  <c r="Q55"/>
  <c r="Q57" s="1"/>
  <c r="P62"/>
  <c r="P64" s="1"/>
  <c r="P63"/>
  <c r="Q63" i="17"/>
  <c r="Q62"/>
  <c r="Q64" s="1"/>
  <c r="O63" i="12" l="1"/>
  <c r="O62"/>
  <c r="O64" s="1"/>
  <c r="Q53"/>
  <c r="P55"/>
  <c r="P57" s="1"/>
  <c r="P61"/>
  <c r="P56"/>
  <c r="P58"/>
  <c r="Q62" i="8"/>
  <c r="Q64" s="1"/>
  <c r="Q63"/>
  <c r="Q63" i="7"/>
  <c r="Q62"/>
  <c r="Q64" s="1"/>
  <c r="P63" i="12" l="1"/>
  <c r="P62"/>
  <c r="P64" s="1"/>
  <c r="Q61"/>
  <c r="Q58"/>
  <c r="Q55"/>
  <c r="Q57" s="1"/>
  <c r="Q56"/>
  <c r="Q63" l="1"/>
  <c r="Q62"/>
  <c r="Q64" s="1"/>
</calcChain>
</file>

<file path=xl/sharedStrings.xml><?xml version="1.0" encoding="utf-8"?>
<sst xmlns="http://schemas.openxmlformats.org/spreadsheetml/2006/main" count="1649" uniqueCount="161">
  <si>
    <t>Cumulative</t>
  </si>
  <si>
    <t>Number of program applications received to date</t>
  </si>
  <si>
    <t>Reporting Period:</t>
  </si>
  <si>
    <t>Program Administrator (PA):</t>
  </si>
  <si>
    <t>Program Name:</t>
  </si>
  <si>
    <t>Program Funding Fuel:</t>
  </si>
  <si>
    <t>Percent of To Date Portion of 2012 Dth Target Acquired</t>
  </si>
  <si>
    <t>Percent of Total 2012 Dth Target Acquired</t>
  </si>
  <si>
    <t xml:space="preserve">Participation </t>
  </si>
  <si>
    <t>Date of Authorizing PSC Order:</t>
  </si>
  <si>
    <t>Date of Most Recent Operating/Implementation Plan:</t>
  </si>
  <si>
    <t>Net First-Year Annual Dth Committed at this Point in Time</t>
  </si>
  <si>
    <t>Net First-year Annual Dth Acquired this Month</t>
  </si>
  <si>
    <t>Ancillary Net First-year Annual MWh Acquired this Month</t>
  </si>
  <si>
    <t>Net First-Year Annual MWh Committed at this Point in Time</t>
  </si>
  <si>
    <t>Net Peak MW Reductions Committed at this Point in Time</t>
  </si>
  <si>
    <t>Funds Encumbered at this Point in Time</t>
  </si>
  <si>
    <t>Evaluation Factors</t>
  </si>
  <si>
    <t>Realization Rate</t>
  </si>
  <si>
    <t>Free Ridership</t>
  </si>
  <si>
    <t>Spill Over</t>
  </si>
  <si>
    <t>Net-to-Gross Ratio</t>
  </si>
  <si>
    <t>Net First-year Annual MWh Acquired this Month</t>
  </si>
  <si>
    <t>Ancillary Net First-year Annual Dth Acquired this Month</t>
  </si>
  <si>
    <t>Percent of Total 2012 MWh Target Acquired</t>
  </si>
  <si>
    <t>Percent of To Date Portion of 2012 MWh Target Acquired</t>
  </si>
  <si>
    <t>Total Net Peak MW Reductions Acquired &amp; Committed</t>
  </si>
  <si>
    <t>MONTHLY DATA ENTRY AREA:</t>
  </si>
  <si>
    <t>(Incremental)</t>
  </si>
  <si>
    <t>(Data Entered)</t>
  </si>
  <si>
    <t>(Current 2012 Total)</t>
  </si>
  <si>
    <t>Exceptions</t>
  </si>
  <si>
    <t>Current Forecast (updated quarterly)</t>
  </si>
  <si>
    <t>Total Expected Net First-year Annual MWh Acquired in 2012</t>
  </si>
  <si>
    <t>(Total Forecast)</t>
  </si>
  <si>
    <t>Month #</t>
  </si>
  <si>
    <t>(If Applicable)</t>
  </si>
  <si>
    <t>(Default is 0.90)</t>
  </si>
  <si>
    <r>
      <t>Number of program applications approved</t>
    </r>
    <r>
      <rPr>
        <i/>
        <sz val="11"/>
        <rFont val="Times New Roman"/>
        <family val="1"/>
      </rPr>
      <t xml:space="preserve"> </t>
    </r>
    <r>
      <rPr>
        <sz val="11"/>
        <rFont val="Times New Roman"/>
        <family val="1"/>
      </rPr>
      <t>to receive funds</t>
    </r>
  </si>
  <si>
    <t>Row #</t>
  </si>
  <si>
    <t>Acheivements</t>
  </si>
  <si>
    <t>Changes Anticipated During Next 6 Months</t>
  </si>
  <si>
    <t>MONTHLY NARRATIVE ENTRY AREA:</t>
  </si>
  <si>
    <t>PROGRAM NARRATIVE</t>
  </si>
  <si>
    <t>Changes Anticipated in the Next 6 Months</t>
  </si>
  <si>
    <t>Total Net First-Year Annual Dth Acquired &amp; Committed</t>
  </si>
  <si>
    <t>Total Expected Net First-year Annual Dth Acquired in 2012</t>
  </si>
  <si>
    <t>Total Net First-Year Annual MWh Acquired &amp; Committed</t>
  </si>
  <si>
    <t>Percent of Total 2012 MWh Target Acquired &amp; Committed</t>
  </si>
  <si>
    <t>Percent of Total 2012 Dth Target Acquired &amp; Committed</t>
  </si>
  <si>
    <t>General Administration Expenditures this Month</t>
  </si>
  <si>
    <t>Program Planning Expenditures this Month</t>
  </si>
  <si>
    <t>Program Marketing Expenditures this Month</t>
  </si>
  <si>
    <t>Trade Ally Training Expenditures this Month</t>
  </si>
  <si>
    <t>Incentives and Services Expenditures this Month</t>
  </si>
  <si>
    <t>Direct Program Implementation Expenditures this Month</t>
  </si>
  <si>
    <t>Evaluation Expenditures this Month</t>
  </si>
  <si>
    <t>Total Expenditures this Month</t>
  </si>
  <si>
    <t>Financial Activity To Date</t>
  </si>
  <si>
    <t>Financial Activity this Month</t>
  </si>
  <si>
    <t>Total expenditures this Month</t>
  </si>
  <si>
    <t>Corrections to Previous Reports</t>
  </si>
  <si>
    <t>Financial Activity This Year</t>
  </si>
  <si>
    <t>Financial Activity to Date</t>
  </si>
  <si>
    <t>Total 2012-2015 Budget:</t>
  </si>
  <si>
    <t>Percent of Total 2012-2015 Budget Spent to Date</t>
  </si>
  <si>
    <t>Percent of Total 2012-2015 Budget Spent and Encumbered</t>
  </si>
  <si>
    <t>Total Expenditures this Year</t>
  </si>
  <si>
    <t>Total Expenditures this year and Encumbrances</t>
  </si>
  <si>
    <t>Total Expenditures to Date and Encumbrances</t>
  </si>
  <si>
    <t>Total Expenditures to Date</t>
  </si>
  <si>
    <t>Current Annual Budget:</t>
  </si>
  <si>
    <t>To Date Portion of Current Annual Budget:</t>
  </si>
  <si>
    <t>Annual Dth Target:</t>
  </si>
  <si>
    <t>Total Annual Budget:</t>
  </si>
  <si>
    <t>Gas Savings Impacts this Year</t>
  </si>
  <si>
    <t>Ancillary Electric Savings Impacts this Year</t>
  </si>
  <si>
    <t>Ancillary Electric Peak Demand Savings Impacts this Year</t>
  </si>
  <si>
    <t>Financial Activity this Year</t>
  </si>
  <si>
    <t>Net First-Year Annual Dth Acquired this Year</t>
  </si>
  <si>
    <t>Current Annual Dth Target:</t>
  </si>
  <si>
    <t>To Date Portion of Current Annual Dth Target:</t>
  </si>
  <si>
    <t>Net First-Year Annual MWh Acquired this Year</t>
  </si>
  <si>
    <t>Net Peak MW Reductions Acquired this Year</t>
  </si>
  <si>
    <t>Percent of Current Annual Budget Spent</t>
  </si>
  <si>
    <t>Percent of Current Annual Budget Spent and Encumbered</t>
  </si>
  <si>
    <t>Percent of To Date Portion of Current Annual Budget Spent</t>
  </si>
  <si>
    <t>Current Annual MWh Target:</t>
  </si>
  <si>
    <t>Electric Savings Impacts this Year</t>
  </si>
  <si>
    <t>To Date Portion of Current Annual MWh Target:</t>
  </si>
  <si>
    <t>Electric Peak Demand Savings Impacts this Year</t>
  </si>
  <si>
    <t>Ancillary Gas Savings Impacts this Year</t>
  </si>
  <si>
    <r>
      <t>First-Year</t>
    </r>
    <r>
      <rPr>
        <b/>
        <sz val="11"/>
        <color indexed="18"/>
        <rFont val="Times New Roman"/>
        <family val="1"/>
      </rPr>
      <t xml:space="preserve"> Savings Acquired this Month</t>
    </r>
  </si>
  <si>
    <t>EEPS I Evaluation Budget:</t>
  </si>
  <si>
    <t>Financial Expenditures this Month</t>
  </si>
  <si>
    <t>Cost Recovery Fee Expenditures this Month (NYSERDA, only)</t>
  </si>
  <si>
    <t>Financial Encumbrances at this Point in Time</t>
  </si>
  <si>
    <t>Total Funds Encumbered at this Point in Time</t>
  </si>
  <si>
    <r>
      <t>Ancillary Net Peak</t>
    </r>
    <r>
      <rPr>
        <sz val="11"/>
        <rFont val="Times New Roman"/>
        <family val="1"/>
      </rPr>
      <t xml:space="preserve"> MW Reductions Acquired this Month</t>
    </r>
  </si>
  <si>
    <t>Date Applications Initially Accepted:</t>
  </si>
  <si>
    <t>General Administration Funds Currently Encumbered</t>
  </si>
  <si>
    <t>Program Planning Funds Currently Encumbered</t>
  </si>
  <si>
    <t>Program Marketing Funds Currently Encumbered</t>
  </si>
  <si>
    <t>Trade Ally Training Funds Currently Encumbered</t>
  </si>
  <si>
    <t>Incentives and Services Funds Currently Encumbered</t>
  </si>
  <si>
    <t>Direct Program Implementation Funds Currently Encumbered</t>
  </si>
  <si>
    <t>Evaluation Funds Currently Encumbered</t>
  </si>
  <si>
    <t>Cost Recovery Fee Funds Currently Encumbered</t>
  </si>
  <si>
    <t>First-Year Savings Acquired this Month</t>
  </si>
  <si>
    <r>
      <t>Net Peak</t>
    </r>
    <r>
      <rPr>
        <sz val="11"/>
        <rFont val="Times New Roman"/>
        <family val="1"/>
      </rPr>
      <t xml:space="preserve"> MW Reductions Acquired this Month</t>
    </r>
  </si>
  <si>
    <t>ELECTRIC</t>
  </si>
  <si>
    <t xml:space="preserve"> GAS</t>
  </si>
  <si>
    <t>Refrigerator Replacement Plus (MFEEP)</t>
  </si>
  <si>
    <t>Electric Rebate</t>
  </si>
  <si>
    <t>Annual MWh Target:</t>
  </si>
  <si>
    <t>Date Committments Initially Accepted:</t>
  </si>
  <si>
    <t>1/1/2012</t>
  </si>
  <si>
    <t>EEPS I Administration Budget:</t>
  </si>
  <si>
    <t>Net Peak MW Reductions Acquired this Month</t>
  </si>
  <si>
    <r>
      <t>Number of program applications approved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to receive funds</t>
    </r>
  </si>
  <si>
    <t>Electric Custom</t>
  </si>
  <si>
    <t>Gas Rebate</t>
  </si>
  <si>
    <t>GAS</t>
  </si>
  <si>
    <t>Ancillary Net Peak MW Reductions Acquired this Month</t>
  </si>
  <si>
    <t>Gas Custom</t>
  </si>
  <si>
    <t>Residential Room AC</t>
  </si>
  <si>
    <t xml:space="preserve">Appliance Bounty </t>
  </si>
  <si>
    <t>Residential Direct Install</t>
  </si>
  <si>
    <t>Residential HVAC</t>
  </si>
  <si>
    <t>Small Business Direct Install (SBDI)</t>
  </si>
  <si>
    <t>Multifamily Low Income</t>
  </si>
  <si>
    <t>Goal changes as per PSC 2.17.12 to 1,040.</t>
  </si>
  <si>
    <t>Goal changes as per PSC to 1,873 mWhs per year.</t>
  </si>
  <si>
    <t>Goal changes as per PSC to 34,158 Dekatherms per year.</t>
  </si>
  <si>
    <t>Program not started yet.</t>
  </si>
  <si>
    <t>Indirect water heater now has deemed savings of 94 therms applied back through 1.1.12.</t>
  </si>
  <si>
    <t>Con Edison</t>
  </si>
  <si>
    <t xml:space="preserve">Cell F12 decreased by 10.717 </t>
  </si>
  <si>
    <t xml:space="preserve">Cell F12 decreased by 9.701 </t>
  </si>
  <si>
    <t xml:space="preserve">Cell F72 increased by 34 </t>
  </si>
  <si>
    <t xml:space="preserve">Cell 71 increased by 20 </t>
  </si>
  <si>
    <t>Ancillary gas program savings (of mWhs) is now tracked separately on the gas scorecard</t>
  </si>
  <si>
    <t>Cell H11 declined by 18; Cell H12 declined by 0.012</t>
  </si>
  <si>
    <t>Cell H25 declined by 3.</t>
  </si>
  <si>
    <t>Cell H12 declined by 0.016</t>
  </si>
  <si>
    <t>Cell H18 increased by 2241</t>
  </si>
  <si>
    <t>Expected Net First-year Annual MWh Committed at year end 2012</t>
  </si>
  <si>
    <t>Expected Net First-year Annual Dth Committed at year end 2012</t>
  </si>
  <si>
    <t>Cell F74 decreased by 5,538</t>
  </si>
  <si>
    <t>Cell G74 decreased by 5,538</t>
  </si>
  <si>
    <t>Cell H74 decreased by 5,538</t>
  </si>
  <si>
    <t>Cell F74 decreased by 7,368</t>
  </si>
  <si>
    <t>Cell G74 decreased by 7,368</t>
  </si>
  <si>
    <t>Cell H74 decreased by 7,368</t>
  </si>
  <si>
    <t>Cell H74 decreased by 8,614</t>
  </si>
  <si>
    <t>Cell F74 decreased by 8,614</t>
  </si>
  <si>
    <t>Cell G74 decreased by 8,614</t>
  </si>
  <si>
    <t>Expected Net First-year Annual Dth Committed at Year End 2012</t>
  </si>
  <si>
    <t>Cell F74 decreased by 132, 210</t>
  </si>
  <si>
    <t>Cell H74 decreased by 132,210</t>
  </si>
  <si>
    <t>Cell G11 decreased by 141; Cell G74 decreased by 132,210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</si>
</sst>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m/d/yy;@"/>
    <numFmt numFmtId="168" formatCode="[$-409]mmmm\ yyyy;@"/>
    <numFmt numFmtId="169" formatCode="_(* #,##0.000_);_(* \(#,##0.000\);_(* &quot;-&quot;??_);_(@_)"/>
  </numFmts>
  <fonts count="16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u/>
      <sz val="11"/>
      <name val="Times New Roman"/>
      <family val="1"/>
    </font>
    <font>
      <b/>
      <sz val="11"/>
      <color indexed="18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2" fillId="0" borderId="1" xfId="0" applyFont="1" applyFill="1" applyBorder="1" applyAlignment="1">
      <alignment horizontal="right" indent="1"/>
    </xf>
    <xf numFmtId="49" fontId="2" fillId="0" borderId="0" xfId="0" applyNumberFormat="1" applyFont="1" applyFill="1" applyBorder="1" applyAlignment="1">
      <alignment horizontal="left" inden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 indent="1"/>
    </xf>
    <xf numFmtId="164" fontId="3" fillId="3" borderId="1" xfId="1" applyNumberFormat="1" applyFont="1" applyFill="1" applyBorder="1"/>
    <xf numFmtId="167" fontId="3" fillId="0" borderId="0" xfId="0" applyNumberFormat="1" applyFont="1" applyFill="1" applyBorder="1" applyAlignment="1">
      <alignment horizontal="left" indent="1"/>
    </xf>
    <xf numFmtId="166" fontId="3" fillId="3" borderId="1" xfId="2" applyNumberFormat="1" applyFont="1" applyFill="1" applyBorder="1"/>
    <xf numFmtId="1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right" indent="1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left" indent="1"/>
    </xf>
    <xf numFmtId="164" fontId="3" fillId="0" borderId="1" xfId="1" applyNumberFormat="1" applyFont="1" applyFill="1" applyBorder="1" applyAlignment="1">
      <alignment horizontal="right" indent="1"/>
    </xf>
    <xf numFmtId="0" fontId="3" fillId="3" borderId="0" xfId="0" applyFont="1" applyFill="1" applyBorder="1" applyAlignment="1">
      <alignment horizontal="center"/>
    </xf>
    <xf numFmtId="164" fontId="3" fillId="0" borderId="1" xfId="1" applyNumberFormat="1" applyFont="1" applyFill="1" applyBorder="1"/>
    <xf numFmtId="164" fontId="3" fillId="2" borderId="1" xfId="1" applyNumberFormat="1" applyFont="1" applyFill="1" applyBorder="1"/>
    <xf numFmtId="164" fontId="2" fillId="0" borderId="1" xfId="1" applyNumberFormat="1" applyFont="1" applyFill="1" applyBorder="1" applyAlignment="1">
      <alignment horizontal="right" indent="1"/>
    </xf>
    <xf numFmtId="164" fontId="2" fillId="0" borderId="1" xfId="1" applyNumberFormat="1" applyFont="1" applyFill="1" applyBorder="1"/>
    <xf numFmtId="164" fontId="2" fillId="4" borderId="1" xfId="1" applyNumberFormat="1" applyFont="1" applyFill="1" applyBorder="1"/>
    <xf numFmtId="164" fontId="7" fillId="0" borderId="1" xfId="1" applyNumberFormat="1" applyFont="1" applyFill="1" applyBorder="1"/>
    <xf numFmtId="164" fontId="7" fillId="4" borderId="1" xfId="1" applyNumberFormat="1" applyFont="1" applyFill="1" applyBorder="1"/>
    <xf numFmtId="164" fontId="3" fillId="4" borderId="1" xfId="1" applyNumberFormat="1" applyFont="1" applyFill="1" applyBorder="1"/>
    <xf numFmtId="164" fontId="3" fillId="0" borderId="1" xfId="0" applyNumberFormat="1" applyFont="1" applyFill="1" applyBorder="1"/>
    <xf numFmtId="0" fontId="3" fillId="3" borderId="1" xfId="0" applyFont="1" applyFill="1" applyBorder="1"/>
    <xf numFmtId="166" fontId="2" fillId="0" borderId="1" xfId="2" applyNumberFormat="1" applyFont="1" applyFill="1" applyBorder="1" applyAlignment="1"/>
    <xf numFmtId="166" fontId="2" fillId="0" borderId="1" xfId="0" applyNumberFormat="1" applyFont="1" applyFill="1" applyBorder="1"/>
    <xf numFmtId="166" fontId="2" fillId="0" borderId="1" xfId="2" applyNumberFormat="1" applyFont="1" applyFill="1" applyBorder="1" applyAlignment="1">
      <alignment horizontal="left"/>
    </xf>
    <xf numFmtId="0" fontId="3" fillId="4" borderId="1" xfId="0" applyFont="1" applyFill="1" applyBorder="1"/>
    <xf numFmtId="166" fontId="7" fillId="0" borderId="1" xfId="2" applyNumberFormat="1" applyFont="1" applyFill="1" applyBorder="1" applyAlignment="1">
      <alignment horizontal="right" indent="1"/>
    </xf>
    <xf numFmtId="166" fontId="7" fillId="0" borderId="1" xfId="2" applyNumberFormat="1" applyFont="1" applyFill="1" applyBorder="1"/>
    <xf numFmtId="166" fontId="3" fillId="0" borderId="1" xfId="2" applyNumberFormat="1" applyFont="1" applyFill="1" applyBorder="1"/>
    <xf numFmtId="166" fontId="3" fillId="4" borderId="1" xfId="2" applyNumberFormat="1" applyFont="1" applyFill="1" applyBorder="1"/>
    <xf numFmtId="165" fontId="7" fillId="4" borderId="1" xfId="3" applyNumberFormat="1" applyFont="1" applyFill="1" applyBorder="1" applyAlignment="1">
      <alignment horizontal="right" indent="1"/>
    </xf>
    <xf numFmtId="43" fontId="3" fillId="0" borderId="1" xfId="1" applyFont="1" applyFill="1" applyBorder="1" applyAlignment="1">
      <alignment horizontal="right" indent="1"/>
    </xf>
    <xf numFmtId="0" fontId="3" fillId="0" borderId="0" xfId="0" applyFont="1" applyFill="1" applyBorder="1" applyAlignment="1"/>
    <xf numFmtId="164" fontId="3" fillId="0" borderId="1" xfId="1" applyNumberFormat="1" applyFont="1" applyFill="1" applyBorder="1" applyAlignment="1"/>
    <xf numFmtId="164" fontId="3" fillId="3" borderId="1" xfId="1" applyNumberFormat="1" applyFont="1" applyFill="1" applyBorder="1" applyAlignment="1"/>
    <xf numFmtId="0" fontId="7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right" indent="1"/>
    </xf>
    <xf numFmtId="0" fontId="4" fillId="2" borderId="3" xfId="0" applyFont="1" applyFill="1" applyBorder="1"/>
    <xf numFmtId="166" fontId="7" fillId="0" borderId="1" xfId="2" applyNumberFormat="1" applyFont="1" applyFill="1" applyBorder="1" applyAlignment="1">
      <alignment horizontal="left"/>
    </xf>
    <xf numFmtId="166" fontId="3" fillId="0" borderId="1" xfId="2" applyNumberFormat="1" applyFont="1" applyFill="1" applyBorder="1" applyAlignment="1">
      <alignment horizontal="left"/>
    </xf>
    <xf numFmtId="0" fontId="4" fillId="2" borderId="1" xfId="0" applyFont="1" applyFill="1" applyBorder="1"/>
    <xf numFmtId="164" fontId="7" fillId="0" borderId="1" xfId="1" applyNumberFormat="1" applyFont="1" applyFill="1" applyBorder="1" applyAlignment="1">
      <alignment horizontal="right" indent="1"/>
    </xf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/>
    <xf numFmtId="164" fontId="3" fillId="3" borderId="0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0" fillId="0" borderId="0" xfId="1" applyNumberFormat="1" applyFont="1" applyFill="1" applyProtection="1"/>
    <xf numFmtId="165" fontId="3" fillId="0" borderId="0" xfId="3" applyNumberFormat="1" applyFont="1" applyFill="1" applyBorder="1"/>
    <xf numFmtId="43" fontId="3" fillId="3" borderId="1" xfId="1" applyFont="1" applyFill="1" applyBorder="1"/>
    <xf numFmtId="0" fontId="4" fillId="4" borderId="1" xfId="0" applyFont="1" applyFill="1" applyBorder="1"/>
    <xf numFmtId="168" fontId="2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166" fontId="2" fillId="4" borderId="1" xfId="0" applyNumberFormat="1" applyFont="1" applyFill="1" applyBorder="1"/>
    <xf numFmtId="0" fontId="2" fillId="0" borderId="0" xfId="0" applyFont="1" applyBorder="1"/>
    <xf numFmtId="0" fontId="2" fillId="4" borderId="1" xfId="0" applyFont="1" applyFill="1" applyBorder="1"/>
    <xf numFmtId="164" fontId="11" fillId="4" borderId="1" xfId="1" applyNumberFormat="1" applyFont="1" applyFill="1" applyBorder="1"/>
    <xf numFmtId="166" fontId="11" fillId="0" borderId="1" xfId="2" applyNumberFormat="1" applyFont="1" applyFill="1" applyBorder="1"/>
    <xf numFmtId="166" fontId="2" fillId="4" borderId="1" xfId="2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8" fillId="0" borderId="0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0" xfId="0" applyAlignment="1"/>
    <xf numFmtId="169" fontId="3" fillId="0" borderId="1" xfId="1" applyNumberFormat="1" applyFont="1" applyFill="1" applyBorder="1"/>
    <xf numFmtId="169" fontId="3" fillId="0" borderId="1" xfId="1" applyNumberFormat="1" applyFont="1" applyFill="1" applyBorder="1" applyAlignment="1">
      <alignment horizontal="right" indent="1"/>
    </xf>
    <xf numFmtId="43" fontId="3" fillId="0" borderId="0" xfId="0" applyNumberFormat="1" applyFont="1" applyFill="1" applyBorder="1"/>
    <xf numFmtId="169" fontId="3" fillId="3" borderId="1" xfId="1" applyNumberFormat="1" applyFont="1" applyFill="1" applyBorder="1"/>
    <xf numFmtId="0" fontId="8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69" fontId="2" fillId="0" borderId="1" xfId="1" applyNumberFormat="1" applyFont="1" applyFill="1" applyBorder="1" applyAlignment="1">
      <alignment horizontal="right" indent="1"/>
    </xf>
    <xf numFmtId="169" fontId="3" fillId="3" borderId="1" xfId="1" applyNumberFormat="1" applyFont="1" applyFill="1" applyBorder="1" applyAlignment="1">
      <alignment horizontal="right" indent="1"/>
    </xf>
    <xf numFmtId="169" fontId="2" fillId="0" borderId="1" xfId="1" applyNumberFormat="1" applyFont="1" applyFill="1" applyBorder="1"/>
    <xf numFmtId="169" fontId="7" fillId="0" borderId="1" xfId="1" applyNumberFormat="1" applyFont="1" applyFill="1" applyBorder="1" applyAlignment="1">
      <alignment horizontal="right" indent="1"/>
    </xf>
    <xf numFmtId="0" fontId="8" fillId="0" borderId="1" xfId="0" applyNumberFormat="1" applyFont="1" applyFill="1" applyBorder="1" applyAlignment="1">
      <alignment horizontal="left" wrapText="1" indent="1"/>
    </xf>
    <xf numFmtId="166" fontId="2" fillId="0" borderId="1" xfId="2" applyNumberFormat="1" applyFont="1" applyFill="1" applyBorder="1"/>
    <xf numFmtId="0" fontId="3" fillId="0" borderId="1" xfId="0" applyFont="1" applyFill="1" applyBorder="1" applyAlignment="1">
      <alignment horizontal="left" indent="2"/>
    </xf>
    <xf numFmtId="0" fontId="7" fillId="0" borderId="1" xfId="0" applyFont="1" applyFill="1" applyBorder="1" applyAlignment="1">
      <alignment horizontal="left" vertical="center" indent="1"/>
    </xf>
    <xf numFmtId="165" fontId="3" fillId="0" borderId="1" xfId="3" applyNumberFormat="1" applyFont="1" applyFill="1" applyBorder="1" applyAlignment="1">
      <alignment horizontal="right" indent="1"/>
    </xf>
    <xf numFmtId="0" fontId="7" fillId="0" borderId="1" xfId="0" applyFont="1" applyFill="1" applyBorder="1" applyAlignment="1">
      <alignment horizontal="left" indent="1"/>
    </xf>
    <xf numFmtId="0" fontId="3" fillId="0" borderId="1" xfId="0" applyFont="1" applyBorder="1" applyAlignment="1">
      <alignment horizontal="left" indent="2"/>
    </xf>
    <xf numFmtId="0" fontId="7" fillId="0" borderId="1" xfId="0" applyFont="1" applyBorder="1" applyAlignment="1">
      <alignment horizontal="left" inden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9" fontId="7" fillId="0" borderId="1" xfId="1" applyNumberFormat="1" applyFont="1" applyFill="1" applyBorder="1"/>
    <xf numFmtId="164" fontId="7" fillId="0" borderId="1" xfId="0" applyNumberFormat="1" applyFont="1" applyFill="1" applyBorder="1"/>
    <xf numFmtId="166" fontId="7" fillId="0" borderId="1" xfId="0" applyNumberFormat="1" applyFont="1" applyFill="1" applyBorder="1"/>
    <xf numFmtId="165" fontId="2" fillId="4" borderId="1" xfId="3" applyNumberFormat="1" applyFont="1" applyFill="1" applyBorder="1" applyAlignment="1">
      <alignment horizontal="right" indent="1"/>
    </xf>
    <xf numFmtId="166" fontId="3" fillId="0" borderId="1" xfId="2" applyNumberFormat="1" applyFont="1" applyFill="1" applyBorder="1" applyAlignment="1"/>
    <xf numFmtId="43" fontId="7" fillId="0" borderId="0" xfId="0" applyNumberFormat="1" applyFont="1" applyFill="1" applyBorder="1"/>
    <xf numFmtId="0" fontId="11" fillId="0" borderId="0" xfId="0" applyFont="1" applyBorder="1" applyAlignment="1">
      <alignment horizontal="center"/>
    </xf>
    <xf numFmtId="166" fontId="3" fillId="0" borderId="1" xfId="2" applyNumberFormat="1" applyFont="1" applyFill="1" applyBorder="1" applyAlignment="1">
      <alignment horizontal="right" indent="1"/>
    </xf>
    <xf numFmtId="166" fontId="2" fillId="0" borderId="1" xfId="2" applyNumberFormat="1" applyFont="1" applyFill="1" applyBorder="1" applyAlignment="1">
      <alignment horizontal="right" indent="1"/>
    </xf>
    <xf numFmtId="0" fontId="12" fillId="0" borderId="0" xfId="0" applyFont="1" applyFill="1" applyBorder="1" applyAlignment="1">
      <alignment horizontal="right" indent="1"/>
    </xf>
    <xf numFmtId="165" fontId="3" fillId="4" borderId="1" xfId="3" applyNumberFormat="1" applyFont="1" applyFill="1" applyBorder="1" applyAlignment="1">
      <alignment horizontal="right" indent="1"/>
    </xf>
    <xf numFmtId="0" fontId="3" fillId="4" borderId="1" xfId="0" applyFont="1" applyFill="1" applyBorder="1" applyAlignment="1">
      <alignment horizontal="center"/>
    </xf>
    <xf numFmtId="166" fontId="7" fillId="0" borderId="1" xfId="2" applyNumberFormat="1" applyFont="1" applyFill="1" applyBorder="1" applyAlignment="1"/>
    <xf numFmtId="0" fontId="2" fillId="0" borderId="0" xfId="0" applyFont="1" applyBorder="1" applyAlignment="1">
      <alignment horizontal="center"/>
    </xf>
    <xf numFmtId="49" fontId="2" fillId="5" borderId="1" xfId="0" applyNumberFormat="1" applyFont="1" applyFill="1" applyBorder="1" applyAlignment="1">
      <alignment horizontal="left"/>
    </xf>
    <xf numFmtId="164" fontId="3" fillId="5" borderId="1" xfId="1" applyNumberFormat="1" applyFont="1" applyFill="1" applyBorder="1"/>
    <xf numFmtId="166" fontId="3" fillId="5" borderId="1" xfId="2" applyNumberFormat="1" applyFont="1" applyFill="1" applyBorder="1"/>
    <xf numFmtId="0" fontId="12" fillId="0" borderId="1" xfId="0" applyFont="1" applyFill="1" applyBorder="1" applyAlignment="1">
      <alignment horizontal="right" indent="1"/>
    </xf>
    <xf numFmtId="49" fontId="8" fillId="0" borderId="1" xfId="0" applyNumberFormat="1" applyFont="1" applyFill="1" applyBorder="1" applyAlignment="1">
      <alignment horizontal="left" wrapText="1" indent="1"/>
    </xf>
    <xf numFmtId="167" fontId="3" fillId="5" borderId="1" xfId="0" applyNumberFormat="1" applyFont="1" applyFill="1" applyBorder="1" applyAlignment="1">
      <alignment horizontal="left"/>
    </xf>
    <xf numFmtId="167" fontId="3" fillId="5" borderId="2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4" borderId="1" xfId="4" applyNumberFormat="1" applyFont="1" applyFill="1" applyBorder="1"/>
    <xf numFmtId="164" fontId="3" fillId="3" borderId="1" xfId="4" applyNumberFormat="1" applyFont="1" applyFill="1" applyBorder="1" applyAlignment="1"/>
    <xf numFmtId="164" fontId="3" fillId="0" borderId="1" xfId="4" applyNumberFormat="1" applyFont="1" applyFill="1" applyBorder="1" applyAlignment="1"/>
    <xf numFmtId="164" fontId="3" fillId="0" borderId="1" xfId="4" applyNumberFormat="1" applyFont="1" applyFill="1" applyBorder="1" applyAlignment="1">
      <alignment horizontal="right" indent="1"/>
    </xf>
    <xf numFmtId="164" fontId="3" fillId="2" borderId="1" xfId="4" applyNumberFormat="1" applyFont="1" applyFill="1" applyBorder="1"/>
    <xf numFmtId="164" fontId="3" fillId="3" borderId="1" xfId="4" applyNumberFormat="1" applyFont="1" applyFill="1" applyBorder="1"/>
    <xf numFmtId="43" fontId="3" fillId="0" borderId="1" xfId="4" applyFont="1" applyFill="1" applyBorder="1" applyAlignment="1">
      <alignment horizontal="right" indent="1"/>
    </xf>
    <xf numFmtId="165" fontId="2" fillId="4" borderId="1" xfId="6" applyNumberFormat="1" applyFont="1" applyFill="1" applyBorder="1" applyAlignment="1">
      <alignment horizontal="right" indent="1"/>
    </xf>
    <xf numFmtId="165" fontId="3" fillId="0" borderId="1" xfId="6" applyNumberFormat="1" applyFont="1" applyFill="1" applyBorder="1" applyAlignment="1">
      <alignment horizontal="right" indent="1"/>
    </xf>
    <xf numFmtId="166" fontId="7" fillId="0" borderId="1" xfId="5" applyNumberFormat="1" applyFont="1" applyFill="1" applyBorder="1" applyAlignment="1">
      <alignment horizontal="right" indent="1"/>
    </xf>
    <xf numFmtId="166" fontId="7" fillId="0" borderId="1" xfId="5" applyNumberFormat="1" applyFont="1" applyFill="1" applyBorder="1" applyAlignment="1"/>
    <xf numFmtId="166" fontId="3" fillId="0" borderId="1" xfId="5" applyNumberFormat="1" applyFont="1" applyFill="1" applyBorder="1" applyAlignment="1">
      <alignment horizontal="right" indent="1"/>
    </xf>
    <xf numFmtId="166" fontId="3" fillId="0" borderId="1" xfId="5" applyNumberFormat="1" applyFont="1" applyFill="1" applyBorder="1" applyAlignment="1"/>
    <xf numFmtId="166" fontId="2" fillId="0" borderId="1" xfId="5" applyNumberFormat="1" applyFont="1" applyFill="1" applyBorder="1" applyAlignment="1">
      <alignment horizontal="right" indent="1"/>
    </xf>
    <xf numFmtId="166" fontId="2" fillId="0" borderId="1" xfId="5" applyNumberFormat="1" applyFont="1" applyFill="1" applyBorder="1" applyAlignment="1"/>
    <xf numFmtId="165" fontId="3" fillId="4" borderId="1" xfId="6" applyNumberFormat="1" applyFont="1" applyFill="1" applyBorder="1" applyAlignment="1">
      <alignment horizontal="right" indent="1"/>
    </xf>
    <xf numFmtId="166" fontId="2" fillId="4" borderId="1" xfId="5" applyNumberFormat="1" applyFont="1" applyFill="1" applyBorder="1"/>
    <xf numFmtId="166" fontId="7" fillId="0" borderId="1" xfId="5" applyNumberFormat="1" applyFont="1" applyFill="1" applyBorder="1"/>
    <xf numFmtId="166" fontId="3" fillId="0" borderId="1" xfId="5" applyNumberFormat="1" applyFont="1" applyFill="1" applyBorder="1"/>
    <xf numFmtId="166" fontId="2" fillId="0" borderId="1" xfId="5" applyNumberFormat="1" applyFont="1" applyFill="1" applyBorder="1" applyAlignment="1">
      <alignment horizontal="left"/>
    </xf>
    <xf numFmtId="166" fontId="3" fillId="3" borderId="1" xfId="5" applyNumberFormat="1" applyFont="1" applyFill="1" applyBorder="1"/>
    <xf numFmtId="166" fontId="11" fillId="0" borderId="1" xfId="5" applyNumberFormat="1" applyFont="1" applyFill="1" applyBorder="1"/>
    <xf numFmtId="166" fontId="2" fillId="0" borderId="1" xfId="5" applyNumberFormat="1" applyFont="1" applyFill="1" applyBorder="1"/>
    <xf numFmtId="166" fontId="3" fillId="0" borderId="1" xfId="5" applyNumberFormat="1" applyFont="1" applyFill="1" applyBorder="1" applyAlignment="1">
      <alignment horizontal="left"/>
    </xf>
    <xf numFmtId="164" fontId="7" fillId="0" borderId="1" xfId="4" applyNumberFormat="1" applyFont="1" applyFill="1" applyBorder="1" applyAlignment="1">
      <alignment horizontal="right" indent="1"/>
    </xf>
    <xf numFmtId="164" fontId="3" fillId="3" borderId="1" xfId="4" applyNumberFormat="1" applyFont="1" applyFill="1" applyBorder="1" applyAlignment="1">
      <alignment horizontal="right"/>
    </xf>
    <xf numFmtId="169" fontId="7" fillId="0" borderId="1" xfId="4" applyNumberFormat="1" applyFont="1" applyFill="1" applyBorder="1" applyAlignment="1">
      <alignment horizontal="right" indent="1"/>
    </xf>
    <xf numFmtId="169" fontId="3" fillId="3" borderId="1" xfId="4" applyNumberFormat="1" applyFont="1" applyFill="1" applyBorder="1" applyAlignment="1">
      <alignment horizontal="right" indent="1"/>
    </xf>
    <xf numFmtId="169" fontId="3" fillId="0" borderId="1" xfId="4" applyNumberFormat="1" applyFont="1" applyFill="1" applyBorder="1" applyAlignment="1">
      <alignment horizontal="right" indent="1"/>
    </xf>
    <xf numFmtId="164" fontId="7" fillId="0" borderId="1" xfId="4" applyNumberFormat="1" applyFont="1" applyFill="1" applyBorder="1"/>
    <xf numFmtId="164" fontId="11" fillId="4" borderId="1" xfId="4" applyNumberFormat="1" applyFont="1" applyFill="1" applyBorder="1"/>
    <xf numFmtId="164" fontId="3" fillId="0" borderId="1" xfId="4" applyNumberFormat="1" applyFont="1" applyFill="1" applyBorder="1"/>
    <xf numFmtId="164" fontId="2" fillId="0" borderId="1" xfId="4" applyNumberFormat="1" applyFont="1" applyFill="1" applyBorder="1"/>
    <xf numFmtId="164" fontId="2" fillId="0" borderId="1" xfId="4" applyNumberFormat="1" applyFont="1" applyFill="1" applyBorder="1" applyAlignment="1">
      <alignment horizontal="right" indent="1"/>
    </xf>
    <xf numFmtId="169" fontId="2" fillId="0" borderId="1" xfId="4" applyNumberFormat="1" applyFont="1" applyFill="1" applyBorder="1" applyAlignment="1">
      <alignment horizontal="right" indent="1"/>
    </xf>
    <xf numFmtId="166" fontId="3" fillId="5" borderId="1" xfId="5" applyNumberFormat="1" applyFont="1" applyFill="1" applyBorder="1"/>
    <xf numFmtId="167" fontId="3" fillId="5" borderId="1" xfId="0" applyNumberFormat="1" applyFont="1" applyFill="1" applyBorder="1" applyAlignment="1">
      <alignment horizontal="center"/>
    </xf>
    <xf numFmtId="167" fontId="3" fillId="5" borderId="2" xfId="0" applyNumberFormat="1" applyFont="1" applyFill="1" applyBorder="1" applyAlignment="1">
      <alignment horizontal="center"/>
    </xf>
    <xf numFmtId="164" fontId="3" fillId="5" borderId="1" xfId="4" applyNumberFormat="1" applyFont="1" applyFill="1" applyBorder="1"/>
    <xf numFmtId="49" fontId="3" fillId="0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164" fontId="13" fillId="3" borderId="1" xfId="4" applyNumberFormat="1" applyFont="1" applyFill="1" applyBorder="1"/>
    <xf numFmtId="2" fontId="3" fillId="3" borderId="1" xfId="0" applyNumberFormat="1" applyFont="1" applyFill="1" applyBorder="1"/>
    <xf numFmtId="169" fontId="3" fillId="3" borderId="1" xfId="4" applyNumberFormat="1" applyFont="1" applyFill="1" applyBorder="1"/>
    <xf numFmtId="164" fontId="3" fillId="3" borderId="1" xfId="8" applyNumberFormat="1" applyFont="1" applyFill="1" applyBorder="1"/>
    <xf numFmtId="43" fontId="3" fillId="3" borderId="1" xfId="1" applyNumberFormat="1" applyFont="1" applyFill="1" applyBorder="1"/>
    <xf numFmtId="43" fontId="3" fillId="3" borderId="1" xfId="4" applyNumberFormat="1" applyFont="1" applyFill="1" applyBorder="1"/>
    <xf numFmtId="0" fontId="8" fillId="0" borderId="0" xfId="0" applyFont="1"/>
    <xf numFmtId="0" fontId="3" fillId="0" borderId="1" xfId="10" applyFont="1" applyFill="1" applyBorder="1" applyAlignment="1">
      <alignment horizontal="left" indent="1"/>
    </xf>
    <xf numFmtId="0" fontId="3" fillId="0" borderId="0" xfId="10" applyFont="1" applyFill="1" applyBorder="1" applyAlignment="1"/>
    <xf numFmtId="0" fontId="3" fillId="3" borderId="0" xfId="10" applyFont="1" applyFill="1" applyBorder="1" applyAlignment="1">
      <alignment horizontal="center"/>
    </xf>
    <xf numFmtId="0" fontId="3" fillId="0" borderId="0" xfId="10" applyFont="1" applyFill="1" applyBorder="1"/>
    <xf numFmtId="164" fontId="3" fillId="3" borderId="0" xfId="4" applyNumberFormat="1" applyFont="1" applyFill="1" applyBorder="1" applyAlignment="1">
      <alignment horizontal="center"/>
    </xf>
    <xf numFmtId="164" fontId="3" fillId="4" borderId="1" xfId="4" applyNumberFormat="1" applyFont="1" applyFill="1" applyBorder="1"/>
    <xf numFmtId="0" fontId="8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4" xfId="0" applyNumberFormat="1" applyFont="1" applyFill="1" applyBorder="1" applyAlignment="1">
      <alignment horizontal="left" wrapText="1"/>
    </xf>
    <xf numFmtId="0" fontId="8" fillId="3" borderId="5" xfId="0" applyNumberFormat="1" applyFont="1" applyFill="1" applyBorder="1" applyAlignment="1">
      <alignment horizontal="left" wrapText="1"/>
    </xf>
    <xf numFmtId="0" fontId="8" fillId="3" borderId="3" xfId="0" applyNumberFormat="1" applyFont="1" applyFill="1" applyBorder="1" applyAlignment="1">
      <alignment horizontal="left" wrapText="1"/>
    </xf>
    <xf numFmtId="0" fontId="8" fillId="3" borderId="4" xfId="0" applyNumberFormat="1" applyFont="1" applyFill="1" applyBorder="1" applyAlignment="1">
      <alignment horizontal="left" vertical="top" wrapText="1"/>
    </xf>
    <xf numFmtId="0" fontId="8" fillId="3" borderId="5" xfId="0" applyNumberFormat="1" applyFont="1" applyFill="1" applyBorder="1" applyAlignment="1">
      <alignment horizontal="left" vertical="top" wrapText="1"/>
    </xf>
    <xf numFmtId="0" fontId="8" fillId="3" borderId="3" xfId="0" applyNumberFormat="1" applyFont="1" applyFill="1" applyBorder="1" applyAlignment="1">
      <alignment horizontal="left" vertical="top" wrapText="1"/>
    </xf>
  </cellXfs>
  <cellStyles count="11">
    <cellStyle name="Comma" xfId="1" builtinId="3"/>
    <cellStyle name="Comma 11" xfId="9"/>
    <cellStyle name="Comma 2" xfId="4"/>
    <cellStyle name="Comma 3" xfId="8"/>
    <cellStyle name="Currency" xfId="2" builtinId="4"/>
    <cellStyle name="Currency 2" xfId="5"/>
    <cellStyle name="Currency 3" xfId="7"/>
    <cellStyle name="Normal" xfId="0" builtinId="0"/>
    <cellStyle name="Normal 2" xfId="10"/>
    <cellStyle name="Percent" xfId="3" builtinId="5"/>
    <cellStyle name="Percent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9"/>
  <sheetViews>
    <sheetView tabSelected="1" zoomScaleNormal="100" workbookViewId="0">
      <selection activeCell="F11" sqref="F11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7.28515625" style="4" customWidth="1"/>
    <col min="6" max="13" width="20.140625" style="3" bestFit="1" customWidth="1"/>
    <col min="14" max="17" width="16.85546875" style="3" bestFit="1" customWidth="1"/>
    <col min="18" max="18" width="11.7109375" style="63" bestFit="1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57" t="s">
        <v>129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56" t="s">
        <v>110</v>
      </c>
      <c r="C3" s="6"/>
      <c r="E3" s="111" t="s">
        <v>114</v>
      </c>
      <c r="F3" s="155">
        <v>78566</v>
      </c>
      <c r="G3" s="155">
        <v>78566</v>
      </c>
      <c r="H3" s="155">
        <v>78566</v>
      </c>
      <c r="I3" s="155">
        <v>78566</v>
      </c>
    </row>
    <row r="4" spans="1:19">
      <c r="A4" s="1" t="s">
        <v>9</v>
      </c>
      <c r="B4" s="153">
        <v>40957</v>
      </c>
      <c r="C4" s="8"/>
      <c r="E4" s="111" t="s">
        <v>74</v>
      </c>
      <c r="F4" s="152">
        <v>27891887</v>
      </c>
      <c r="G4" s="152">
        <v>27891887</v>
      </c>
      <c r="H4" s="152">
        <v>27891887</v>
      </c>
      <c r="I4" s="152">
        <v>27891887</v>
      </c>
      <c r="J4" s="10"/>
      <c r="K4" s="10"/>
      <c r="L4" s="10"/>
      <c r="M4" s="10"/>
      <c r="N4" s="10"/>
      <c r="O4" s="10"/>
      <c r="P4" s="10"/>
      <c r="Q4" s="10"/>
      <c r="R4" s="116"/>
    </row>
    <row r="5" spans="1:19">
      <c r="A5" s="46" t="s">
        <v>10</v>
      </c>
      <c r="B5" s="154">
        <v>39948</v>
      </c>
      <c r="C5" s="8"/>
      <c r="E5" s="111" t="s">
        <v>93</v>
      </c>
      <c r="F5" s="15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6"/>
    </row>
    <row r="6" spans="1:19">
      <c r="A6" s="1" t="s">
        <v>99</v>
      </c>
      <c r="B6" s="153">
        <v>40909</v>
      </c>
      <c r="C6" s="8"/>
      <c r="E6" s="111" t="s">
        <v>117</v>
      </c>
      <c r="F6" s="15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6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6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17"/>
      <c r="S10" s="4">
        <v>3</v>
      </c>
    </row>
    <row r="11" spans="1:19">
      <c r="A11" s="18" t="s">
        <v>22</v>
      </c>
      <c r="B11" s="120">
        <f>HLOOKUP($B$7,$F$8:$Q$74,S11,FALSE)</f>
        <v>5790.8958300000004</v>
      </c>
      <c r="E11" s="20" t="s">
        <v>28</v>
      </c>
      <c r="F11" s="122">
        <v>3230.3443900000002</v>
      </c>
      <c r="G11" s="122">
        <v>4627.7160400000002</v>
      </c>
      <c r="H11" s="122">
        <v>6475.2028799999998</v>
      </c>
      <c r="I11" s="122">
        <v>5790.8958300000004</v>
      </c>
      <c r="J11" s="122"/>
      <c r="K11" s="122"/>
      <c r="L11" s="122"/>
      <c r="M11" s="122"/>
      <c r="N11" s="122"/>
      <c r="O11" s="122"/>
      <c r="P11" s="122"/>
      <c r="Q11" s="122"/>
      <c r="R11" s="149">
        <f>SUM(F11:Q11)</f>
        <v>20124.15914</v>
      </c>
      <c r="S11" s="4">
        <v>4</v>
      </c>
    </row>
    <row r="12" spans="1:19">
      <c r="A12" s="18" t="s">
        <v>109</v>
      </c>
      <c r="B12" s="145">
        <f>HLOOKUP($B$7,$F$8:$Q$74,S12,FALSE)</f>
        <v>1.4018499999999998</v>
      </c>
      <c r="E12" s="20" t="s">
        <v>28</v>
      </c>
      <c r="F12" s="144">
        <f>722.73/1000</f>
        <v>0.72272999999999998</v>
      </c>
      <c r="G12" s="144">
        <f>1103.6/1000</f>
        <v>1.1035999999999999</v>
      </c>
      <c r="H12" s="144">
        <v>1.4715199999999999</v>
      </c>
      <c r="I12" s="144">
        <v>1.4018499999999998</v>
      </c>
      <c r="J12" s="144"/>
      <c r="K12" s="144"/>
      <c r="L12" s="144"/>
      <c r="M12" s="144"/>
      <c r="N12" s="144"/>
      <c r="O12" s="144"/>
      <c r="P12" s="144"/>
      <c r="Q12" s="144"/>
      <c r="R12" s="151">
        <f>SUM(F12:Q12)</f>
        <v>4.6997</v>
      </c>
      <c r="S12" s="4">
        <v>5</v>
      </c>
    </row>
    <row r="13" spans="1:19">
      <c r="A13" s="18" t="s">
        <v>23</v>
      </c>
      <c r="B13" s="120">
        <v>0</v>
      </c>
      <c r="E13" s="20" t="s">
        <v>28</v>
      </c>
      <c r="F13" s="142">
        <v>0</v>
      </c>
      <c r="G13" s="142">
        <v>0</v>
      </c>
      <c r="H13" s="122">
        <v>0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49">
        <f>SUM(F13:Q13)</f>
        <v>0</v>
      </c>
      <c r="S13" s="4">
        <v>6</v>
      </c>
    </row>
    <row r="14" spans="1:19">
      <c r="A14" s="61" t="s">
        <v>88</v>
      </c>
      <c r="B14" s="59"/>
      <c r="E14" s="5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17"/>
      <c r="S14" s="4">
        <v>7</v>
      </c>
    </row>
    <row r="15" spans="1:19">
      <c r="A15" s="1" t="s">
        <v>87</v>
      </c>
      <c r="B15" s="150">
        <f>HLOOKUP($B$7,$F$8:$Q$74,S15,FALSE)</f>
        <v>78566</v>
      </c>
      <c r="E15" s="5"/>
      <c r="F15" s="149">
        <f t="shared" ref="F15:Q15" si="0">$F$3</f>
        <v>78566</v>
      </c>
      <c r="G15" s="149">
        <f t="shared" si="0"/>
        <v>78566</v>
      </c>
      <c r="H15" s="149">
        <f t="shared" si="0"/>
        <v>78566</v>
      </c>
      <c r="I15" s="149">
        <f t="shared" si="0"/>
        <v>78566</v>
      </c>
      <c r="J15" s="149">
        <f t="shared" si="0"/>
        <v>78566</v>
      </c>
      <c r="K15" s="149">
        <f t="shared" si="0"/>
        <v>78566</v>
      </c>
      <c r="L15" s="149">
        <f t="shared" si="0"/>
        <v>78566</v>
      </c>
      <c r="M15" s="149">
        <f t="shared" si="0"/>
        <v>78566</v>
      </c>
      <c r="N15" s="149">
        <f t="shared" si="0"/>
        <v>78566</v>
      </c>
      <c r="O15" s="149">
        <f t="shared" si="0"/>
        <v>78566</v>
      </c>
      <c r="P15" s="149">
        <f t="shared" si="0"/>
        <v>78566</v>
      </c>
      <c r="Q15" s="149">
        <f t="shared" si="0"/>
        <v>78566</v>
      </c>
      <c r="R15" s="117"/>
      <c r="S15" s="4">
        <v>8</v>
      </c>
    </row>
    <row r="16" spans="1:19">
      <c r="A16" s="1" t="s">
        <v>89</v>
      </c>
      <c r="B16" s="150">
        <f>HLOOKUP($B$7,$F$8:$Q$74,S16,FALSE)</f>
        <v>26188.666666666664</v>
      </c>
      <c r="E16" s="5"/>
      <c r="F16" s="149">
        <f t="shared" ref="F16:Q16" si="1">F15*(F9/12)</f>
        <v>6547.1666666666661</v>
      </c>
      <c r="G16" s="149">
        <f t="shared" si="1"/>
        <v>13094.333333333332</v>
      </c>
      <c r="H16" s="149">
        <f t="shared" si="1"/>
        <v>19641.5</v>
      </c>
      <c r="I16" s="149">
        <f t="shared" si="1"/>
        <v>26188.666666666664</v>
      </c>
      <c r="J16" s="149">
        <f t="shared" si="1"/>
        <v>32735.833333333336</v>
      </c>
      <c r="K16" s="149">
        <f t="shared" si="1"/>
        <v>39283</v>
      </c>
      <c r="L16" s="149">
        <f t="shared" si="1"/>
        <v>45830.166666666672</v>
      </c>
      <c r="M16" s="149">
        <f t="shared" si="1"/>
        <v>52377.333333333328</v>
      </c>
      <c r="N16" s="149">
        <f t="shared" si="1"/>
        <v>58924.5</v>
      </c>
      <c r="O16" s="149">
        <f t="shared" si="1"/>
        <v>65471.666666666672</v>
      </c>
      <c r="P16" s="149">
        <f t="shared" si="1"/>
        <v>72018.833333333328</v>
      </c>
      <c r="Q16" s="149">
        <f t="shared" si="1"/>
        <v>78566</v>
      </c>
      <c r="R16" s="117"/>
      <c r="S16" s="4">
        <v>9</v>
      </c>
    </row>
    <row r="17" spans="1:19">
      <c r="A17" s="86" t="s">
        <v>82</v>
      </c>
      <c r="B17" s="120">
        <f>HLOOKUP($B$7,$F$8:$Q$74,S17,FALSE)</f>
        <v>20124.15914</v>
      </c>
      <c r="E17" s="5"/>
      <c r="F17" s="148">
        <f>F11</f>
        <v>3230.3443900000002</v>
      </c>
      <c r="G17" s="148">
        <f t="shared" ref="G17:Q17" si="2">F17+G11</f>
        <v>7858.0604300000005</v>
      </c>
      <c r="H17" s="148">
        <f t="shared" si="2"/>
        <v>14333.26331</v>
      </c>
      <c r="I17" s="148">
        <f t="shared" si="2"/>
        <v>20124.15914</v>
      </c>
      <c r="J17" s="148">
        <f t="shared" si="2"/>
        <v>20124.15914</v>
      </c>
      <c r="K17" s="148">
        <f t="shared" si="2"/>
        <v>20124.15914</v>
      </c>
      <c r="L17" s="148">
        <f t="shared" si="2"/>
        <v>20124.15914</v>
      </c>
      <c r="M17" s="148">
        <f t="shared" si="2"/>
        <v>20124.15914</v>
      </c>
      <c r="N17" s="148">
        <f t="shared" si="2"/>
        <v>20124.15914</v>
      </c>
      <c r="O17" s="148">
        <f t="shared" si="2"/>
        <v>20124.15914</v>
      </c>
      <c r="P17" s="148">
        <f t="shared" si="2"/>
        <v>20124.15914</v>
      </c>
      <c r="Q17" s="148">
        <f t="shared" si="2"/>
        <v>20124.15914</v>
      </c>
      <c r="R17" s="147"/>
      <c r="S17" s="4">
        <v>10</v>
      </c>
    </row>
    <row r="18" spans="1:19">
      <c r="A18" s="86" t="s">
        <v>14</v>
      </c>
      <c r="B18" s="120">
        <f>HLOOKUP($B$7,$F$8:$Q$74,S18,FALSE)</f>
        <v>3894.1421</v>
      </c>
      <c r="E18" s="20" t="s">
        <v>30</v>
      </c>
      <c r="F18" s="122">
        <f>(4548498.45+161366.33)/1000</f>
        <v>4709.8647799999999</v>
      </c>
      <c r="G18" s="122">
        <f>(4124059+543889.86)/1000</f>
        <v>4667.9488600000004</v>
      </c>
      <c r="H18" s="122">
        <v>4395.7662</v>
      </c>
      <c r="I18" s="122">
        <v>3894.1421</v>
      </c>
      <c r="J18" s="122"/>
      <c r="K18" s="122"/>
      <c r="L18" s="122"/>
      <c r="M18" s="122"/>
      <c r="N18" s="122"/>
      <c r="O18" s="122"/>
      <c r="P18" s="122"/>
      <c r="Q18" s="122"/>
      <c r="R18" s="147"/>
      <c r="S18" s="4">
        <v>11</v>
      </c>
    </row>
    <row r="19" spans="1:19">
      <c r="A19" s="87" t="s">
        <v>47</v>
      </c>
      <c r="B19" s="141">
        <f>HLOOKUP($B$7,$F$8:$Q$74,S19,FALSE)</f>
        <v>24018.301240000001</v>
      </c>
      <c r="C19" s="92"/>
      <c r="D19" s="92"/>
      <c r="E19" s="92"/>
      <c r="F19" s="146">
        <f t="shared" ref="F19:Q19" si="3">F17+F18</f>
        <v>7940.2091700000001</v>
      </c>
      <c r="G19" s="146">
        <f t="shared" si="3"/>
        <v>12526.009290000002</v>
      </c>
      <c r="H19" s="146">
        <f t="shared" si="3"/>
        <v>18729.02951</v>
      </c>
      <c r="I19" s="146">
        <f t="shared" si="3"/>
        <v>24018.301240000001</v>
      </c>
      <c r="J19" s="146">
        <f t="shared" si="3"/>
        <v>20124.15914</v>
      </c>
      <c r="K19" s="146">
        <f t="shared" si="3"/>
        <v>20124.15914</v>
      </c>
      <c r="L19" s="146">
        <f t="shared" si="3"/>
        <v>20124.15914</v>
      </c>
      <c r="M19" s="146">
        <f t="shared" si="3"/>
        <v>20124.15914</v>
      </c>
      <c r="N19" s="146">
        <f t="shared" si="3"/>
        <v>20124.15914</v>
      </c>
      <c r="O19" s="146">
        <f t="shared" si="3"/>
        <v>20124.15914</v>
      </c>
      <c r="P19" s="146">
        <f t="shared" si="3"/>
        <v>20124.15914</v>
      </c>
      <c r="Q19" s="146">
        <f t="shared" si="3"/>
        <v>20124.15914</v>
      </c>
      <c r="R19" s="117"/>
      <c r="S19" s="4">
        <v>12</v>
      </c>
    </row>
    <row r="20" spans="1:19">
      <c r="A20" s="86" t="s">
        <v>24</v>
      </c>
      <c r="B20" s="125">
        <f>IFERROR(HLOOKUP($B$7,$F$8:$Q$74,S20,FALSE),"-  ")</f>
        <v>0.25614335895934626</v>
      </c>
      <c r="F20" s="125">
        <f t="shared" ref="F20:Q20" si="4">IFERROR(F17/F15,"-  ")</f>
        <v>4.1116314818114709E-2</v>
      </c>
      <c r="G20" s="125">
        <f t="shared" si="4"/>
        <v>0.10001858857521066</v>
      </c>
      <c r="H20" s="125">
        <f t="shared" si="4"/>
        <v>0.18243595588422473</v>
      </c>
      <c r="I20" s="125">
        <f t="shared" si="4"/>
        <v>0.25614335895934626</v>
      </c>
      <c r="J20" s="125">
        <f t="shared" si="4"/>
        <v>0.25614335895934626</v>
      </c>
      <c r="K20" s="125">
        <f t="shared" si="4"/>
        <v>0.25614335895934626</v>
      </c>
      <c r="L20" s="125">
        <f t="shared" si="4"/>
        <v>0.25614335895934626</v>
      </c>
      <c r="M20" s="125">
        <f t="shared" si="4"/>
        <v>0.25614335895934626</v>
      </c>
      <c r="N20" s="125">
        <f t="shared" si="4"/>
        <v>0.25614335895934626</v>
      </c>
      <c r="O20" s="125">
        <f t="shared" si="4"/>
        <v>0.25614335895934626</v>
      </c>
      <c r="P20" s="125">
        <f t="shared" si="4"/>
        <v>0.25614335895934626</v>
      </c>
      <c r="Q20" s="125">
        <f t="shared" si="4"/>
        <v>0.25614335895934626</v>
      </c>
      <c r="R20" s="124"/>
      <c r="S20" s="4">
        <v>13</v>
      </c>
    </row>
    <row r="21" spans="1:19">
      <c r="A21" s="86" t="s">
        <v>48</v>
      </c>
      <c r="B21" s="125">
        <f>IFERROR(HLOOKUP($B$7,$F$8:$Q$74,S21,FALSE),"-  ")</f>
        <v>0.30570859201181172</v>
      </c>
      <c r="F21" s="125">
        <f t="shared" ref="F21:Q21" si="5">IFERROR(F19/F15,"-  ")</f>
        <v>0.10106419023496169</v>
      </c>
      <c r="G21" s="125">
        <f t="shared" si="5"/>
        <v>0.15943295178575975</v>
      </c>
      <c r="H21" s="125">
        <f t="shared" si="5"/>
        <v>0.23838593679199654</v>
      </c>
      <c r="I21" s="125">
        <f t="shared" si="5"/>
        <v>0.30570859201181172</v>
      </c>
      <c r="J21" s="125">
        <f t="shared" si="5"/>
        <v>0.25614335895934626</v>
      </c>
      <c r="K21" s="125">
        <f t="shared" si="5"/>
        <v>0.25614335895934626</v>
      </c>
      <c r="L21" s="125">
        <f t="shared" si="5"/>
        <v>0.25614335895934626</v>
      </c>
      <c r="M21" s="125">
        <f t="shared" si="5"/>
        <v>0.25614335895934626</v>
      </c>
      <c r="N21" s="125">
        <f t="shared" si="5"/>
        <v>0.25614335895934626</v>
      </c>
      <c r="O21" s="125">
        <f t="shared" si="5"/>
        <v>0.25614335895934626</v>
      </c>
      <c r="P21" s="125">
        <f t="shared" si="5"/>
        <v>0.25614335895934626</v>
      </c>
      <c r="Q21" s="125">
        <f t="shared" si="5"/>
        <v>0.25614335895934626</v>
      </c>
      <c r="R21" s="124"/>
      <c r="S21" s="4">
        <v>14</v>
      </c>
    </row>
    <row r="22" spans="1:19">
      <c r="A22" s="86" t="s">
        <v>25</v>
      </c>
      <c r="B22" s="125">
        <f>IFERROR(HLOOKUP($B$7,$F$8:$Q$74,S22,FALSE),"-  ")</f>
        <v>0.76843007687803888</v>
      </c>
      <c r="F22" s="125">
        <f t="shared" ref="F22:Q22" si="6">IFERROR(F17/F16,"-  ")</f>
        <v>0.49339577781737654</v>
      </c>
      <c r="G22" s="125">
        <f t="shared" si="6"/>
        <v>0.60011153145126395</v>
      </c>
      <c r="H22" s="125">
        <f t="shared" si="6"/>
        <v>0.72974382353689893</v>
      </c>
      <c r="I22" s="125">
        <f t="shared" si="6"/>
        <v>0.76843007687803888</v>
      </c>
      <c r="J22" s="125">
        <f t="shared" si="6"/>
        <v>0.61474406150243099</v>
      </c>
      <c r="K22" s="125">
        <f t="shared" si="6"/>
        <v>0.51228671791869251</v>
      </c>
      <c r="L22" s="125">
        <f t="shared" si="6"/>
        <v>0.43910290107316502</v>
      </c>
      <c r="M22" s="125">
        <f t="shared" si="6"/>
        <v>0.38421503843901944</v>
      </c>
      <c r="N22" s="125">
        <f t="shared" si="6"/>
        <v>0.34152447861246171</v>
      </c>
      <c r="O22" s="125">
        <f t="shared" si="6"/>
        <v>0.3073720307512155</v>
      </c>
      <c r="P22" s="125">
        <f t="shared" si="6"/>
        <v>0.27942911886474142</v>
      </c>
      <c r="Q22" s="125">
        <f t="shared" si="6"/>
        <v>0.25614335895934626</v>
      </c>
      <c r="R22" s="124"/>
      <c r="S22" s="4">
        <v>15</v>
      </c>
    </row>
    <row r="23" spans="1:19">
      <c r="A23" s="61" t="s">
        <v>90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17"/>
      <c r="S23" s="4">
        <v>16</v>
      </c>
    </row>
    <row r="24" spans="1:19">
      <c r="A24" s="86" t="s">
        <v>83</v>
      </c>
      <c r="B24" s="145">
        <f>HLOOKUP($B$7,$F$8:$Q$74,S24,FALSE)</f>
        <v>4.6997</v>
      </c>
      <c r="E24" s="76"/>
      <c r="F24" s="145">
        <f>F12</f>
        <v>0.72272999999999998</v>
      </c>
      <c r="G24" s="145">
        <f t="shared" ref="G24:Q24" si="7">F24+G12</f>
        <v>1.82633</v>
      </c>
      <c r="H24" s="145">
        <f t="shared" si="7"/>
        <v>3.2978499999999999</v>
      </c>
      <c r="I24" s="145">
        <f t="shared" si="7"/>
        <v>4.6997</v>
      </c>
      <c r="J24" s="145">
        <f t="shared" si="7"/>
        <v>4.6997</v>
      </c>
      <c r="K24" s="145">
        <f t="shared" si="7"/>
        <v>4.6997</v>
      </c>
      <c r="L24" s="145">
        <f t="shared" si="7"/>
        <v>4.6997</v>
      </c>
      <c r="M24" s="145">
        <f t="shared" si="7"/>
        <v>4.6997</v>
      </c>
      <c r="N24" s="145">
        <f t="shared" si="7"/>
        <v>4.6997</v>
      </c>
      <c r="O24" s="145">
        <f t="shared" si="7"/>
        <v>4.6997</v>
      </c>
      <c r="P24" s="145">
        <f t="shared" si="7"/>
        <v>4.6997</v>
      </c>
      <c r="Q24" s="145">
        <f t="shared" si="7"/>
        <v>4.6997</v>
      </c>
      <c r="R24" s="117"/>
      <c r="S24" s="4">
        <v>17</v>
      </c>
    </row>
    <row r="25" spans="1:19">
      <c r="A25" s="86" t="s">
        <v>15</v>
      </c>
      <c r="B25" s="145">
        <f>HLOOKUP($B$7,$F$8:$Q$74,S25,FALSE)</f>
        <v>0.91389999999999993</v>
      </c>
      <c r="E25" s="20" t="s">
        <v>30</v>
      </c>
      <c r="F25" s="144">
        <f>(921.11+50.82)/1000</f>
        <v>0.97193000000000007</v>
      </c>
      <c r="G25" s="144">
        <f>(1045.59+116.12)/1000</f>
        <v>1.16171</v>
      </c>
      <c r="H25" s="144">
        <v>1.01546</v>
      </c>
      <c r="I25" s="144">
        <v>0.91389999999999993</v>
      </c>
      <c r="J25" s="144"/>
      <c r="K25" s="144"/>
      <c r="L25" s="144"/>
      <c r="M25" s="144"/>
      <c r="N25" s="144"/>
      <c r="O25" s="144"/>
      <c r="P25" s="144"/>
      <c r="Q25" s="144"/>
      <c r="R25" s="117"/>
      <c r="S25" s="4">
        <v>18</v>
      </c>
    </row>
    <row r="26" spans="1:19">
      <c r="A26" s="89" t="s">
        <v>26</v>
      </c>
      <c r="B26" s="143">
        <f>HLOOKUP($B$7,$F$8:$Q$74,S26,FALSE)</f>
        <v>5.6135999999999999</v>
      </c>
      <c r="C26" s="92"/>
      <c r="D26" s="92"/>
      <c r="E26" s="99"/>
      <c r="F26" s="143">
        <f t="shared" ref="F26:Q26" si="8">F24+F25</f>
        <v>1.6946600000000001</v>
      </c>
      <c r="G26" s="143">
        <f t="shared" si="8"/>
        <v>2.9880399999999998</v>
      </c>
      <c r="H26" s="143">
        <f t="shared" si="8"/>
        <v>4.3133099999999995</v>
      </c>
      <c r="I26" s="143">
        <f t="shared" si="8"/>
        <v>5.6135999999999999</v>
      </c>
      <c r="J26" s="143">
        <f t="shared" si="8"/>
        <v>4.6997</v>
      </c>
      <c r="K26" s="143">
        <f t="shared" si="8"/>
        <v>4.6997</v>
      </c>
      <c r="L26" s="143">
        <f t="shared" si="8"/>
        <v>4.6997</v>
      </c>
      <c r="M26" s="143">
        <f t="shared" si="8"/>
        <v>4.6997</v>
      </c>
      <c r="N26" s="143">
        <f t="shared" si="8"/>
        <v>4.6997</v>
      </c>
      <c r="O26" s="143">
        <f t="shared" si="8"/>
        <v>4.6997</v>
      </c>
      <c r="P26" s="143">
        <f t="shared" si="8"/>
        <v>4.6997</v>
      </c>
      <c r="Q26" s="143">
        <f t="shared" si="8"/>
        <v>4.6997</v>
      </c>
      <c r="R26" s="117"/>
      <c r="S26" s="4">
        <v>19</v>
      </c>
    </row>
    <row r="27" spans="1:19">
      <c r="A27" s="61" t="s">
        <v>91</v>
      </c>
      <c r="B27" s="59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17"/>
      <c r="S27" s="4">
        <v>20</v>
      </c>
    </row>
    <row r="28" spans="1:19">
      <c r="A28" s="86" t="s">
        <v>79</v>
      </c>
      <c r="B28" s="120">
        <f>HLOOKUP($B$7,$F$8:$Q$74,S28,FALSE)</f>
        <v>0</v>
      </c>
      <c r="F28" s="29">
        <v>0</v>
      </c>
      <c r="G28" s="29">
        <f t="shared" ref="G28:Q28" si="9">F28+G13</f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 t="shared" si="9"/>
        <v>0</v>
      </c>
      <c r="P28" s="29">
        <f t="shared" si="9"/>
        <v>0</v>
      </c>
      <c r="Q28" s="29">
        <f t="shared" si="9"/>
        <v>0</v>
      </c>
      <c r="R28" s="64"/>
      <c r="S28" s="4">
        <v>21</v>
      </c>
    </row>
    <row r="29" spans="1:19">
      <c r="A29" s="86" t="s">
        <v>11</v>
      </c>
      <c r="B29" s="120">
        <f>HLOOKUP($B$7,$F$8:$Q$74,S29,FALSE)</f>
        <v>0</v>
      </c>
      <c r="E29" s="20" t="s">
        <v>30</v>
      </c>
      <c r="F29" s="142">
        <v>0</v>
      </c>
      <c r="G29" s="122">
        <v>0</v>
      </c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64"/>
      <c r="S29" s="4">
        <v>22</v>
      </c>
    </row>
    <row r="30" spans="1:19">
      <c r="A30" s="89" t="s">
        <v>45</v>
      </c>
      <c r="B30" s="141">
        <f>HLOOKUP($B$7,$F$8:$Q$74,S30,FALSE)</f>
        <v>0</v>
      </c>
      <c r="C30" s="92"/>
      <c r="D30" s="92"/>
      <c r="E30" s="92"/>
      <c r="F30" s="95">
        <v>0</v>
      </c>
      <c r="G30" s="95">
        <f t="shared" ref="G30:Q30" si="10">G28+G29</f>
        <v>0</v>
      </c>
      <c r="H30" s="95">
        <f t="shared" si="10"/>
        <v>0</v>
      </c>
      <c r="I30" s="95">
        <f t="shared" si="10"/>
        <v>0</v>
      </c>
      <c r="J30" s="95">
        <f t="shared" si="10"/>
        <v>0</v>
      </c>
      <c r="K30" s="95">
        <f t="shared" si="10"/>
        <v>0</v>
      </c>
      <c r="L30" s="95">
        <f t="shared" si="10"/>
        <v>0</v>
      </c>
      <c r="M30" s="95">
        <f t="shared" si="10"/>
        <v>0</v>
      </c>
      <c r="N30" s="95">
        <f t="shared" si="10"/>
        <v>0</v>
      </c>
      <c r="O30" s="95">
        <f t="shared" si="10"/>
        <v>0</v>
      </c>
      <c r="P30" s="95">
        <f t="shared" si="10"/>
        <v>0</v>
      </c>
      <c r="Q30" s="95">
        <f t="shared" si="10"/>
        <v>0</v>
      </c>
      <c r="R30" s="64"/>
      <c r="S30" s="4">
        <v>23</v>
      </c>
    </row>
    <row r="31" spans="1:19">
      <c r="A31" s="61" t="s">
        <v>59</v>
      </c>
      <c r="B31" s="59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17"/>
      <c r="S31" s="4">
        <v>24</v>
      </c>
    </row>
    <row r="32" spans="1:19">
      <c r="A32" s="90" t="s">
        <v>50</v>
      </c>
      <c r="B32" s="140">
        <f t="shared" ref="B32:B40" si="11">HLOOKUP($B$7,$F$8:$Q$74,S32,FALSE)</f>
        <v>52540.53</v>
      </c>
      <c r="E32" s="20" t="s">
        <v>28</v>
      </c>
      <c r="F32" s="137">
        <v>2370.64</v>
      </c>
      <c r="G32" s="137">
        <v>93395.88</v>
      </c>
      <c r="H32" s="137">
        <v>31143.7</v>
      </c>
      <c r="I32" s="137">
        <v>52540.53</v>
      </c>
      <c r="J32" s="137"/>
      <c r="K32" s="137"/>
      <c r="L32" s="137"/>
      <c r="M32" s="137"/>
      <c r="N32" s="137"/>
      <c r="O32" s="137"/>
      <c r="P32" s="137"/>
      <c r="Q32" s="137"/>
      <c r="R32" s="139">
        <f t="shared" ref="R32:R38" si="12">SUM(F32:Q32)</f>
        <v>179450.75</v>
      </c>
      <c r="S32" s="4">
        <v>25</v>
      </c>
    </row>
    <row r="33" spans="1:19">
      <c r="A33" s="90" t="s">
        <v>51</v>
      </c>
      <c r="B33" s="140">
        <f t="shared" si="11"/>
        <v>0</v>
      </c>
      <c r="E33" s="20" t="s">
        <v>28</v>
      </c>
      <c r="F33" s="137">
        <v>0</v>
      </c>
      <c r="G33" s="137">
        <v>0</v>
      </c>
      <c r="H33" s="137">
        <v>0</v>
      </c>
      <c r="I33" s="137">
        <v>0</v>
      </c>
      <c r="J33" s="137"/>
      <c r="K33" s="137"/>
      <c r="L33" s="137"/>
      <c r="M33" s="137"/>
      <c r="N33" s="137"/>
      <c r="O33" s="137"/>
      <c r="P33" s="137"/>
      <c r="Q33" s="137"/>
      <c r="R33" s="139">
        <f t="shared" si="12"/>
        <v>0</v>
      </c>
      <c r="S33" s="4">
        <v>26</v>
      </c>
    </row>
    <row r="34" spans="1:19">
      <c r="A34" s="90" t="s">
        <v>52</v>
      </c>
      <c r="B34" s="140">
        <f t="shared" si="11"/>
        <v>19916.150000000001</v>
      </c>
      <c r="E34" s="20" t="s">
        <v>28</v>
      </c>
      <c r="F34" s="137">
        <v>0</v>
      </c>
      <c r="G34" s="137">
        <v>7400</v>
      </c>
      <c r="H34" s="137">
        <v>0</v>
      </c>
      <c r="I34" s="137">
        <v>19916.150000000001</v>
      </c>
      <c r="J34" s="137"/>
      <c r="K34" s="137"/>
      <c r="L34" s="137"/>
      <c r="M34" s="137"/>
      <c r="N34" s="137"/>
      <c r="O34" s="137"/>
      <c r="P34" s="137"/>
      <c r="Q34" s="137"/>
      <c r="R34" s="139">
        <f t="shared" si="12"/>
        <v>27316.15</v>
      </c>
      <c r="S34" s="4">
        <v>27</v>
      </c>
    </row>
    <row r="35" spans="1:19">
      <c r="A35" s="90" t="s">
        <v>53</v>
      </c>
      <c r="B35" s="140">
        <f t="shared" si="11"/>
        <v>0</v>
      </c>
      <c r="E35" s="20" t="s">
        <v>28</v>
      </c>
      <c r="F35" s="137">
        <v>0</v>
      </c>
      <c r="G35" s="137">
        <v>0</v>
      </c>
      <c r="H35" s="137">
        <v>0</v>
      </c>
      <c r="I35" s="137">
        <v>0</v>
      </c>
      <c r="J35" s="137"/>
      <c r="K35" s="137"/>
      <c r="L35" s="137"/>
      <c r="M35" s="137"/>
      <c r="N35" s="137"/>
      <c r="O35" s="137"/>
      <c r="P35" s="137"/>
      <c r="Q35" s="137"/>
      <c r="R35" s="139">
        <f t="shared" si="12"/>
        <v>0</v>
      </c>
      <c r="S35" s="4">
        <v>28</v>
      </c>
    </row>
    <row r="36" spans="1:19">
      <c r="A36" s="90" t="s">
        <v>54</v>
      </c>
      <c r="B36" s="140">
        <f t="shared" si="11"/>
        <v>0</v>
      </c>
      <c r="E36" s="20" t="s">
        <v>28</v>
      </c>
      <c r="F36" s="137">
        <v>0</v>
      </c>
      <c r="G36" s="137">
        <v>0</v>
      </c>
      <c r="H36" s="137">
        <v>0</v>
      </c>
      <c r="I36" s="137">
        <v>0</v>
      </c>
      <c r="J36" s="137"/>
      <c r="K36" s="137"/>
      <c r="L36" s="137"/>
      <c r="M36" s="137"/>
      <c r="N36" s="137"/>
      <c r="O36" s="137"/>
      <c r="P36" s="137"/>
      <c r="Q36" s="137"/>
      <c r="R36" s="139">
        <f t="shared" si="12"/>
        <v>0</v>
      </c>
      <c r="S36" s="4">
        <v>29</v>
      </c>
    </row>
    <row r="37" spans="1:19">
      <c r="A37" s="90" t="s">
        <v>55</v>
      </c>
      <c r="B37" s="140">
        <f t="shared" si="11"/>
        <v>60985.97</v>
      </c>
      <c r="E37" s="20" t="s">
        <v>28</v>
      </c>
      <c r="F37" s="137">
        <v>0</v>
      </c>
      <c r="G37" s="137">
        <v>0</v>
      </c>
      <c r="H37" s="137">
        <v>0</v>
      </c>
      <c r="I37" s="137">
        <v>60985.97</v>
      </c>
      <c r="J37" s="137"/>
      <c r="K37" s="137"/>
      <c r="L37" s="137"/>
      <c r="M37" s="137"/>
      <c r="N37" s="137"/>
      <c r="O37" s="137"/>
      <c r="P37" s="137"/>
      <c r="Q37" s="137"/>
      <c r="R37" s="139">
        <f t="shared" si="12"/>
        <v>60985.97</v>
      </c>
      <c r="S37" s="4">
        <v>30</v>
      </c>
    </row>
    <row r="38" spans="1:19">
      <c r="A38" s="90" t="s">
        <v>56</v>
      </c>
      <c r="B38" s="140">
        <f t="shared" si="11"/>
        <v>0</v>
      </c>
      <c r="E38" s="20" t="s">
        <v>28</v>
      </c>
      <c r="F38" s="137">
        <v>0</v>
      </c>
      <c r="G38" s="137">
        <v>0</v>
      </c>
      <c r="H38" s="137">
        <v>0</v>
      </c>
      <c r="I38" s="137">
        <v>0</v>
      </c>
      <c r="J38" s="137"/>
      <c r="K38" s="137"/>
      <c r="L38" s="137"/>
      <c r="M38" s="137"/>
      <c r="N38" s="137"/>
      <c r="O38" s="137"/>
      <c r="P38" s="137"/>
      <c r="Q38" s="137"/>
      <c r="R38" s="139">
        <f t="shared" si="12"/>
        <v>0</v>
      </c>
      <c r="S38" s="4">
        <v>31</v>
      </c>
    </row>
    <row r="39" spans="1:19">
      <c r="A39" s="90" t="s">
        <v>95</v>
      </c>
      <c r="B39" s="140">
        <f t="shared" si="11"/>
        <v>0</v>
      </c>
      <c r="E39" s="20" t="s">
        <v>28</v>
      </c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9"/>
      <c r="S39" s="4">
        <v>32</v>
      </c>
    </row>
    <row r="40" spans="1:19">
      <c r="A40" s="89" t="s">
        <v>60</v>
      </c>
      <c r="B40" s="126">
        <f t="shared" si="11"/>
        <v>133442.65</v>
      </c>
      <c r="C40" s="92"/>
      <c r="D40" s="92"/>
      <c r="E40" s="92"/>
      <c r="F40" s="96">
        <f>SUM(F32:F39)</f>
        <v>2370.64</v>
      </c>
      <c r="G40" s="96">
        <f t="shared" ref="G40:Q40" si="13">SUM(G32:G39)</f>
        <v>100795.88</v>
      </c>
      <c r="H40" s="96">
        <f t="shared" si="13"/>
        <v>31143.7</v>
      </c>
      <c r="I40" s="96">
        <f t="shared" si="13"/>
        <v>133442.65</v>
      </c>
      <c r="J40" s="96">
        <f t="shared" si="13"/>
        <v>0</v>
      </c>
      <c r="K40" s="96">
        <f t="shared" si="13"/>
        <v>0</v>
      </c>
      <c r="L40" s="96">
        <f t="shared" si="13"/>
        <v>0</v>
      </c>
      <c r="M40" s="96">
        <f t="shared" si="13"/>
        <v>0</v>
      </c>
      <c r="N40" s="96">
        <f t="shared" si="13"/>
        <v>0</v>
      </c>
      <c r="O40" s="96">
        <f t="shared" si="13"/>
        <v>0</v>
      </c>
      <c r="P40" s="96">
        <f t="shared" si="13"/>
        <v>0</v>
      </c>
      <c r="Q40" s="96">
        <f t="shared" si="13"/>
        <v>0</v>
      </c>
      <c r="R40" s="138">
        <f>SUM(F40:Q40)</f>
        <v>267752.87</v>
      </c>
      <c r="S40" s="4">
        <v>33</v>
      </c>
    </row>
    <row r="41" spans="1:19">
      <c r="A41" s="61" t="s">
        <v>96</v>
      </c>
      <c r="B41" s="59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17"/>
      <c r="S41" s="4">
        <v>34</v>
      </c>
    </row>
    <row r="42" spans="1:19">
      <c r="A42" s="90" t="s">
        <v>100</v>
      </c>
      <c r="B42" s="129">
        <f t="shared" ref="B42:B49" si="14">HLOOKUP($B$7,$F$8:$Q$74,S42,FALSE)</f>
        <v>41453.899556137279</v>
      </c>
      <c r="E42" s="20" t="s">
        <v>30</v>
      </c>
      <c r="F42" s="137">
        <v>63362.557223955002</v>
      </c>
      <c r="G42" s="137">
        <v>46118.866522867582</v>
      </c>
      <c r="H42" s="137">
        <v>45295.161575193961</v>
      </c>
      <c r="I42" s="137">
        <v>41453.899556137279</v>
      </c>
      <c r="J42" s="137"/>
      <c r="K42" s="137"/>
      <c r="L42" s="137"/>
      <c r="M42" s="137"/>
      <c r="N42" s="137"/>
      <c r="O42" s="137"/>
      <c r="P42" s="137"/>
      <c r="Q42" s="137"/>
      <c r="R42" s="117"/>
      <c r="S42" s="4">
        <v>35</v>
      </c>
    </row>
    <row r="43" spans="1:19">
      <c r="A43" s="90" t="s">
        <v>101</v>
      </c>
      <c r="B43" s="129">
        <f t="shared" si="14"/>
        <v>490.7545169817206</v>
      </c>
      <c r="E43" s="20" t="s">
        <v>30</v>
      </c>
      <c r="F43" s="137">
        <v>396.37050012518716</v>
      </c>
      <c r="G43" s="137">
        <v>692.85848245406396</v>
      </c>
      <c r="H43" s="137">
        <v>594.50976145332766</v>
      </c>
      <c r="I43" s="137">
        <v>490.7545169817206</v>
      </c>
      <c r="J43" s="137"/>
      <c r="K43" s="137"/>
      <c r="L43" s="137"/>
      <c r="M43" s="137"/>
      <c r="N43" s="137"/>
      <c r="O43" s="137"/>
      <c r="P43" s="137"/>
      <c r="Q43" s="137"/>
      <c r="R43" s="117"/>
      <c r="S43" s="4">
        <v>36</v>
      </c>
    </row>
    <row r="44" spans="1:19">
      <c r="A44" s="90" t="s">
        <v>102</v>
      </c>
      <c r="B44" s="129">
        <f t="shared" si="14"/>
        <v>89597.168934124973</v>
      </c>
      <c r="E44" s="20" t="s">
        <v>30</v>
      </c>
      <c r="F44" s="137">
        <v>148042.748475356</v>
      </c>
      <c r="G44" s="137">
        <v>103805.18637689421</v>
      </c>
      <c r="H44" s="137">
        <v>98434.985350265037</v>
      </c>
      <c r="I44" s="137">
        <v>89597.168934124973</v>
      </c>
      <c r="J44" s="137"/>
      <c r="K44" s="137"/>
      <c r="L44" s="137"/>
      <c r="M44" s="137"/>
      <c r="N44" s="137"/>
      <c r="O44" s="137"/>
      <c r="P44" s="137"/>
      <c r="Q44" s="137"/>
      <c r="R44" s="117"/>
      <c r="S44" s="4">
        <v>37</v>
      </c>
    </row>
    <row r="45" spans="1:19">
      <c r="A45" s="90" t="s">
        <v>103</v>
      </c>
      <c r="B45" s="129">
        <f t="shared" si="14"/>
        <v>65.006908486758661</v>
      </c>
      <c r="E45" s="20" t="s">
        <v>30</v>
      </c>
      <c r="F45" s="137"/>
      <c r="G45" s="137">
        <v>84.227375278567038</v>
      </c>
      <c r="H45" s="137">
        <v>73.896116920654848</v>
      </c>
      <c r="I45" s="137">
        <v>65.006908486758661</v>
      </c>
      <c r="J45" s="137"/>
      <c r="K45" s="137"/>
      <c r="L45" s="137"/>
      <c r="M45" s="137"/>
      <c r="N45" s="137"/>
      <c r="O45" s="137"/>
      <c r="P45" s="137"/>
      <c r="Q45" s="137"/>
      <c r="R45" s="117"/>
      <c r="S45" s="4">
        <v>38</v>
      </c>
    </row>
    <row r="46" spans="1:19">
      <c r="A46" s="90" t="s">
        <v>104</v>
      </c>
      <c r="B46" s="129">
        <f t="shared" si="14"/>
        <v>1016083.4539814197</v>
      </c>
      <c r="E46" s="20" t="s">
        <v>30</v>
      </c>
      <c r="F46" s="137">
        <v>1314673.9604537885</v>
      </c>
      <c r="G46" s="137">
        <v>1121683.8265730329</v>
      </c>
      <c r="H46" s="137">
        <v>1112030.9564166274</v>
      </c>
      <c r="I46" s="137">
        <v>1016083.4539814197</v>
      </c>
      <c r="J46" s="137"/>
      <c r="K46" s="137"/>
      <c r="L46" s="137"/>
      <c r="M46" s="137"/>
      <c r="N46" s="137"/>
      <c r="O46" s="137"/>
      <c r="P46" s="137"/>
      <c r="Q46" s="137"/>
      <c r="R46" s="117"/>
      <c r="S46" s="4">
        <v>39</v>
      </c>
    </row>
    <row r="47" spans="1:19">
      <c r="A47" s="90" t="s">
        <v>105</v>
      </c>
      <c r="B47" s="129">
        <f t="shared" si="14"/>
        <v>255219.88600977079</v>
      </c>
      <c r="E47" s="20" t="s">
        <v>30</v>
      </c>
      <c r="F47" s="137">
        <v>353154.35120557912</v>
      </c>
      <c r="G47" s="137">
        <v>329619.16073954327</v>
      </c>
      <c r="H47" s="137">
        <v>298237.48749515379</v>
      </c>
      <c r="I47" s="137">
        <v>255219.88600977079</v>
      </c>
      <c r="J47" s="137"/>
      <c r="K47" s="137"/>
      <c r="L47" s="137"/>
      <c r="M47" s="137"/>
      <c r="N47" s="137"/>
      <c r="O47" s="137"/>
      <c r="P47" s="137"/>
      <c r="Q47" s="137"/>
      <c r="R47" s="117"/>
      <c r="S47" s="4">
        <v>40</v>
      </c>
    </row>
    <row r="48" spans="1:19">
      <c r="A48" s="90" t="s">
        <v>106</v>
      </c>
      <c r="B48" s="129">
        <f t="shared" si="14"/>
        <v>22686.95561234876</v>
      </c>
      <c r="E48" s="20" t="s">
        <v>30</v>
      </c>
      <c r="F48" s="137">
        <v>26134.371952450547</v>
      </c>
      <c r="G48" s="137">
        <v>24871.700436675361</v>
      </c>
      <c r="H48" s="137">
        <v>23138.811892402307</v>
      </c>
      <c r="I48" s="137">
        <v>22686.95561234876</v>
      </c>
      <c r="J48" s="137"/>
      <c r="K48" s="137"/>
      <c r="L48" s="137"/>
      <c r="M48" s="137"/>
      <c r="N48" s="137"/>
      <c r="O48" s="137"/>
      <c r="P48" s="137"/>
      <c r="Q48" s="137"/>
      <c r="R48" s="117"/>
      <c r="S48" s="4">
        <v>41</v>
      </c>
    </row>
    <row r="49" spans="1:19">
      <c r="A49" s="90" t="s">
        <v>107</v>
      </c>
      <c r="B49" s="129">
        <f t="shared" si="14"/>
        <v>0</v>
      </c>
      <c r="E49" s="20" t="s">
        <v>30</v>
      </c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17"/>
      <c r="S49" s="4">
        <v>42</v>
      </c>
    </row>
    <row r="50" spans="1:19">
      <c r="A50" s="61" t="s">
        <v>62</v>
      </c>
      <c r="B50" s="59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17"/>
      <c r="S50" s="4">
        <v>43</v>
      </c>
    </row>
    <row r="51" spans="1:19">
      <c r="A51" s="1" t="s">
        <v>71</v>
      </c>
      <c r="B51" s="131">
        <f>HLOOKUP($B$7,$F$8:$Q$74,S51,FALSE)</f>
        <v>27891887</v>
      </c>
      <c r="F51" s="32">
        <f t="shared" ref="F51:Q51" si="15">$F$4+$F$5+$F$6</f>
        <v>27891887</v>
      </c>
      <c r="G51" s="32">
        <f t="shared" si="15"/>
        <v>27891887</v>
      </c>
      <c r="H51" s="32">
        <f t="shared" si="15"/>
        <v>27891887</v>
      </c>
      <c r="I51" s="32">
        <f t="shared" si="15"/>
        <v>27891887</v>
      </c>
      <c r="J51" s="32">
        <f t="shared" si="15"/>
        <v>27891887</v>
      </c>
      <c r="K51" s="32">
        <f t="shared" si="15"/>
        <v>27891887</v>
      </c>
      <c r="L51" s="32">
        <f t="shared" si="15"/>
        <v>27891887</v>
      </c>
      <c r="M51" s="32">
        <f t="shared" si="15"/>
        <v>27891887</v>
      </c>
      <c r="N51" s="32">
        <f t="shared" si="15"/>
        <v>27891887</v>
      </c>
      <c r="O51" s="32">
        <f t="shared" si="15"/>
        <v>27891887</v>
      </c>
      <c r="P51" s="32">
        <f t="shared" si="15"/>
        <v>27891887</v>
      </c>
      <c r="Q51" s="32">
        <f t="shared" si="15"/>
        <v>27891887</v>
      </c>
      <c r="R51" s="62"/>
      <c r="S51" s="4">
        <v>44</v>
      </c>
    </row>
    <row r="52" spans="1:19">
      <c r="A52" s="1" t="s">
        <v>72</v>
      </c>
      <c r="B52" s="131">
        <f>HLOOKUP($B$7,$F$8:$Q$74,S52,FALSE)</f>
        <v>9297295.666666666</v>
      </c>
      <c r="F52" s="136">
        <f t="shared" ref="F52:Q52" si="16">F51*(F9/12)</f>
        <v>2324323.9166666665</v>
      </c>
      <c r="G52" s="136">
        <f t="shared" si="16"/>
        <v>4648647.833333333</v>
      </c>
      <c r="H52" s="136">
        <f t="shared" si="16"/>
        <v>6972971.75</v>
      </c>
      <c r="I52" s="136">
        <f t="shared" si="16"/>
        <v>9297295.666666666</v>
      </c>
      <c r="J52" s="136">
        <f t="shared" si="16"/>
        <v>11621619.583333334</v>
      </c>
      <c r="K52" s="136">
        <f t="shared" si="16"/>
        <v>13945943.5</v>
      </c>
      <c r="L52" s="136">
        <f t="shared" si="16"/>
        <v>16270267.416666668</v>
      </c>
      <c r="M52" s="136">
        <f t="shared" si="16"/>
        <v>18594591.333333332</v>
      </c>
      <c r="N52" s="136">
        <f t="shared" si="16"/>
        <v>20918915.25</v>
      </c>
      <c r="O52" s="136">
        <f t="shared" si="16"/>
        <v>23243239.166666668</v>
      </c>
      <c r="P52" s="136">
        <f t="shared" si="16"/>
        <v>25567563.083333332</v>
      </c>
      <c r="Q52" s="136">
        <f t="shared" si="16"/>
        <v>27891887</v>
      </c>
      <c r="R52" s="64"/>
      <c r="S52" s="4">
        <v>45</v>
      </c>
    </row>
    <row r="53" spans="1:19">
      <c r="A53" s="86" t="s">
        <v>67</v>
      </c>
      <c r="B53" s="129">
        <f>HLOOKUP($B$7,$F$8:$Q$74,S53,FALSE)</f>
        <v>267752.87</v>
      </c>
      <c r="F53" s="135">
        <f>F40</f>
        <v>2370.64</v>
      </c>
      <c r="G53" s="135">
        <f t="shared" ref="G53:Q53" si="17">F53+G40</f>
        <v>103166.52</v>
      </c>
      <c r="H53" s="135">
        <f t="shared" si="17"/>
        <v>134310.22</v>
      </c>
      <c r="I53" s="135">
        <f t="shared" si="17"/>
        <v>267752.87</v>
      </c>
      <c r="J53" s="135">
        <f t="shared" si="17"/>
        <v>267752.87</v>
      </c>
      <c r="K53" s="135">
        <f t="shared" si="17"/>
        <v>267752.87</v>
      </c>
      <c r="L53" s="135">
        <f t="shared" si="17"/>
        <v>267752.87</v>
      </c>
      <c r="M53" s="135">
        <f t="shared" si="17"/>
        <v>267752.87</v>
      </c>
      <c r="N53" s="135">
        <f t="shared" si="17"/>
        <v>267752.87</v>
      </c>
      <c r="O53" s="135">
        <f t="shared" si="17"/>
        <v>267752.87</v>
      </c>
      <c r="P53" s="135">
        <f t="shared" si="17"/>
        <v>267752.87</v>
      </c>
      <c r="Q53" s="135">
        <f t="shared" si="17"/>
        <v>267752.87</v>
      </c>
      <c r="R53" s="133"/>
      <c r="S53" s="4">
        <v>46</v>
      </c>
    </row>
    <row r="54" spans="1:19">
      <c r="A54" s="86" t="s">
        <v>16</v>
      </c>
      <c r="B54" s="129">
        <f>HLOOKUP($B$7,$F$8:$Q$74,S54,FALSE)</f>
        <v>1425597.1255192701</v>
      </c>
      <c r="E54" s="3"/>
      <c r="F54" s="135">
        <f t="shared" ref="F54:Q54" si="18">SUM(F42:F49)</f>
        <v>1905764.3598112545</v>
      </c>
      <c r="G54" s="135">
        <f t="shared" si="18"/>
        <v>1626875.826506746</v>
      </c>
      <c r="H54" s="135">
        <f t="shared" si="18"/>
        <v>1577805.8086080165</v>
      </c>
      <c r="I54" s="135">
        <f t="shared" si="18"/>
        <v>1425597.1255192701</v>
      </c>
      <c r="J54" s="135">
        <f t="shared" si="18"/>
        <v>0</v>
      </c>
      <c r="K54" s="135">
        <f t="shared" si="18"/>
        <v>0</v>
      </c>
      <c r="L54" s="135">
        <f t="shared" si="18"/>
        <v>0</v>
      </c>
      <c r="M54" s="135">
        <f t="shared" si="18"/>
        <v>0</v>
      </c>
      <c r="N54" s="135">
        <f t="shared" si="18"/>
        <v>0</v>
      </c>
      <c r="O54" s="135">
        <f t="shared" si="18"/>
        <v>0</v>
      </c>
      <c r="P54" s="135">
        <f t="shared" si="18"/>
        <v>0</v>
      </c>
      <c r="Q54" s="135">
        <f t="shared" si="18"/>
        <v>0</v>
      </c>
      <c r="R54" s="133"/>
      <c r="S54" s="4">
        <v>47</v>
      </c>
    </row>
    <row r="55" spans="1:19">
      <c r="A55" s="91" t="s">
        <v>68</v>
      </c>
      <c r="B55" s="126">
        <f>HLOOKUP($B$7,$F$8:$Q$74,S55,FALSE)</f>
        <v>1693349.9955192702</v>
      </c>
      <c r="C55" s="92"/>
      <c r="D55" s="92"/>
      <c r="E55" s="93"/>
      <c r="F55" s="134">
        <f t="shared" ref="F55:Q55" si="19">F53+F54</f>
        <v>1908134.9998112544</v>
      </c>
      <c r="G55" s="134">
        <f t="shared" si="19"/>
        <v>1730042.346506746</v>
      </c>
      <c r="H55" s="134">
        <f t="shared" si="19"/>
        <v>1712116.0286080164</v>
      </c>
      <c r="I55" s="134">
        <f t="shared" si="19"/>
        <v>1693349.9955192702</v>
      </c>
      <c r="J55" s="134">
        <f t="shared" si="19"/>
        <v>267752.87</v>
      </c>
      <c r="K55" s="134">
        <f t="shared" si="19"/>
        <v>267752.87</v>
      </c>
      <c r="L55" s="134">
        <f t="shared" si="19"/>
        <v>267752.87</v>
      </c>
      <c r="M55" s="134">
        <f t="shared" si="19"/>
        <v>267752.87</v>
      </c>
      <c r="N55" s="134">
        <f t="shared" si="19"/>
        <v>267752.87</v>
      </c>
      <c r="O55" s="134">
        <f t="shared" si="19"/>
        <v>267752.87</v>
      </c>
      <c r="P55" s="134">
        <f t="shared" si="19"/>
        <v>267752.87</v>
      </c>
      <c r="Q55" s="134">
        <f t="shared" si="19"/>
        <v>267752.87</v>
      </c>
      <c r="R55" s="133"/>
      <c r="S55" s="4">
        <v>48</v>
      </c>
    </row>
    <row r="56" spans="1:19">
      <c r="A56" s="86" t="s">
        <v>84</v>
      </c>
      <c r="B56" s="125">
        <f>IFERROR(HLOOKUP($B$7,$F$8:$Q$74,S56,FALSE),"-  ")</f>
        <v>9.5996685344379891E-3</v>
      </c>
      <c r="F56" s="125">
        <f t="shared" ref="F56:Q56" si="20">IFERROR(F53/F51,"-  ")</f>
        <v>8.4993890875866517E-5</v>
      </c>
      <c r="G56" s="125">
        <f t="shared" si="20"/>
        <v>3.6988002998864867E-3</v>
      </c>
      <c r="H56" s="125">
        <f t="shared" si="20"/>
        <v>4.8153866391327342E-3</v>
      </c>
      <c r="I56" s="125">
        <f t="shared" si="20"/>
        <v>9.5996685344379891E-3</v>
      </c>
      <c r="J56" s="125">
        <f t="shared" si="20"/>
        <v>9.5996685344379891E-3</v>
      </c>
      <c r="K56" s="125">
        <f t="shared" si="20"/>
        <v>9.5996685344379891E-3</v>
      </c>
      <c r="L56" s="125">
        <f t="shared" si="20"/>
        <v>9.5996685344379891E-3</v>
      </c>
      <c r="M56" s="125">
        <f t="shared" si="20"/>
        <v>9.5996685344379891E-3</v>
      </c>
      <c r="N56" s="125">
        <f t="shared" si="20"/>
        <v>9.5996685344379891E-3</v>
      </c>
      <c r="O56" s="125">
        <f t="shared" si="20"/>
        <v>9.5996685344379891E-3</v>
      </c>
      <c r="P56" s="125">
        <f t="shared" si="20"/>
        <v>9.5996685344379891E-3</v>
      </c>
      <c r="Q56" s="125">
        <f t="shared" si="20"/>
        <v>9.5996685344379891E-3</v>
      </c>
      <c r="R56" s="124"/>
      <c r="S56" s="4">
        <v>49</v>
      </c>
    </row>
    <row r="57" spans="1:19">
      <c r="A57" s="86" t="s">
        <v>85</v>
      </c>
      <c r="B57" s="125">
        <f>IFERROR(HLOOKUP($B$7,$F$8:$Q$74,S57,FALSE),"-  ")</f>
        <v>6.0711202347810682E-2</v>
      </c>
      <c r="F57" s="125">
        <f t="shared" ref="F57:Q57" si="21">IFERROR(F55/F51,"-  ")</f>
        <v>6.8411828852284334E-2</v>
      </c>
      <c r="G57" s="125">
        <f t="shared" si="21"/>
        <v>6.2026722914327953E-2</v>
      </c>
      <c r="H57" s="125">
        <f t="shared" si="21"/>
        <v>6.1384015667638993E-2</v>
      </c>
      <c r="I57" s="125">
        <f t="shared" si="21"/>
        <v>6.0711202347810682E-2</v>
      </c>
      <c r="J57" s="125">
        <f t="shared" si="21"/>
        <v>9.5996685344379891E-3</v>
      </c>
      <c r="K57" s="125">
        <f t="shared" si="21"/>
        <v>9.5996685344379891E-3</v>
      </c>
      <c r="L57" s="125">
        <f t="shared" si="21"/>
        <v>9.5996685344379891E-3</v>
      </c>
      <c r="M57" s="125">
        <f t="shared" si="21"/>
        <v>9.5996685344379891E-3</v>
      </c>
      <c r="N57" s="125">
        <f t="shared" si="21"/>
        <v>9.5996685344379891E-3</v>
      </c>
      <c r="O57" s="125">
        <f t="shared" si="21"/>
        <v>9.5996685344379891E-3</v>
      </c>
      <c r="P57" s="125">
        <f t="shared" si="21"/>
        <v>9.5996685344379891E-3</v>
      </c>
      <c r="Q57" s="125">
        <f t="shared" si="21"/>
        <v>9.5996685344379891E-3</v>
      </c>
      <c r="R57" s="124"/>
      <c r="S57" s="4">
        <v>50</v>
      </c>
    </row>
    <row r="58" spans="1:19">
      <c r="A58" s="86" t="s">
        <v>86</v>
      </c>
      <c r="B58" s="125">
        <f>IFERROR(HLOOKUP($B$7,$F$8:$Q$74,S58,FALSE),"-  ")</f>
        <v>2.8799005603313967E-2</v>
      </c>
      <c r="F58" s="125">
        <f t="shared" ref="F58:Q58" si="22">IFERROR(F53/F52,"-  ")</f>
        <v>1.0199266905103982E-3</v>
      </c>
      <c r="G58" s="125">
        <f t="shared" si="22"/>
        <v>2.2192801799318922E-2</v>
      </c>
      <c r="H58" s="125">
        <f t="shared" si="22"/>
        <v>1.9261546556530937E-2</v>
      </c>
      <c r="I58" s="125">
        <f t="shared" si="22"/>
        <v>2.8799005603313967E-2</v>
      </c>
      <c r="J58" s="125">
        <f t="shared" si="22"/>
        <v>2.3039204482651173E-2</v>
      </c>
      <c r="K58" s="125">
        <f t="shared" si="22"/>
        <v>1.9199337068875978E-2</v>
      </c>
      <c r="L58" s="125">
        <f t="shared" si="22"/>
        <v>1.6456574630465123E-2</v>
      </c>
      <c r="M58" s="125">
        <f t="shared" si="22"/>
        <v>1.4399502801656984E-2</v>
      </c>
      <c r="N58" s="125">
        <f t="shared" si="22"/>
        <v>1.2799558045917319E-2</v>
      </c>
      <c r="O58" s="125">
        <f t="shared" si="22"/>
        <v>1.1519602241325587E-2</v>
      </c>
      <c r="P58" s="125">
        <f t="shared" si="22"/>
        <v>1.0472365673932352E-2</v>
      </c>
      <c r="Q58" s="125">
        <f t="shared" si="22"/>
        <v>9.5996685344379891E-3</v>
      </c>
      <c r="R58" s="124"/>
      <c r="S58" s="4">
        <v>51</v>
      </c>
    </row>
    <row r="59" spans="1:19">
      <c r="A59" s="61" t="s">
        <v>58</v>
      </c>
      <c r="B59" s="59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24"/>
      <c r="S59" s="4">
        <v>52</v>
      </c>
    </row>
    <row r="60" spans="1:19">
      <c r="A60" s="1" t="s">
        <v>64</v>
      </c>
      <c r="B60" s="131">
        <f>HLOOKUP($B$7,$F$8:$Q$74,S60,FALSE)</f>
        <v>111567548</v>
      </c>
      <c r="F60" s="130">
        <f t="shared" ref="F60:Q60" si="23">SUM($F$4:$I$4)+$F$5+$F$6</f>
        <v>111567548</v>
      </c>
      <c r="G60" s="130">
        <f t="shared" si="23"/>
        <v>111567548</v>
      </c>
      <c r="H60" s="130">
        <f t="shared" si="23"/>
        <v>111567548</v>
      </c>
      <c r="I60" s="130">
        <f t="shared" si="23"/>
        <v>111567548</v>
      </c>
      <c r="J60" s="130">
        <f t="shared" si="23"/>
        <v>111567548</v>
      </c>
      <c r="K60" s="130">
        <f t="shared" si="23"/>
        <v>111567548</v>
      </c>
      <c r="L60" s="130">
        <f t="shared" si="23"/>
        <v>111567548</v>
      </c>
      <c r="M60" s="130">
        <f t="shared" si="23"/>
        <v>111567548</v>
      </c>
      <c r="N60" s="130">
        <f t="shared" si="23"/>
        <v>111567548</v>
      </c>
      <c r="O60" s="130">
        <f t="shared" si="23"/>
        <v>111567548</v>
      </c>
      <c r="P60" s="130">
        <f t="shared" si="23"/>
        <v>111567548</v>
      </c>
      <c r="Q60" s="130">
        <f t="shared" si="23"/>
        <v>111567548</v>
      </c>
      <c r="R60" s="124"/>
      <c r="S60" s="4">
        <v>53</v>
      </c>
    </row>
    <row r="61" spans="1:19">
      <c r="A61" s="86" t="s">
        <v>70</v>
      </c>
      <c r="B61" s="129">
        <f>HLOOKUP($B$7,$F$8:$Q$74,S61,FALSE)</f>
        <v>267752.87</v>
      </c>
      <c r="F61" s="128">
        <f t="shared" ref="F61:Q61" si="24">F53</f>
        <v>2370.64</v>
      </c>
      <c r="G61" s="128">
        <f t="shared" si="24"/>
        <v>103166.52</v>
      </c>
      <c r="H61" s="128">
        <f t="shared" si="24"/>
        <v>134310.22</v>
      </c>
      <c r="I61" s="128">
        <f t="shared" si="24"/>
        <v>267752.87</v>
      </c>
      <c r="J61" s="128">
        <f t="shared" si="24"/>
        <v>267752.87</v>
      </c>
      <c r="K61" s="128">
        <f t="shared" si="24"/>
        <v>267752.87</v>
      </c>
      <c r="L61" s="128">
        <f t="shared" si="24"/>
        <v>267752.87</v>
      </c>
      <c r="M61" s="128">
        <f t="shared" si="24"/>
        <v>267752.87</v>
      </c>
      <c r="N61" s="128">
        <f t="shared" si="24"/>
        <v>267752.87</v>
      </c>
      <c r="O61" s="128">
        <f t="shared" si="24"/>
        <v>267752.87</v>
      </c>
      <c r="P61" s="128">
        <f t="shared" si="24"/>
        <v>267752.87</v>
      </c>
      <c r="Q61" s="128">
        <f t="shared" si="24"/>
        <v>267752.87</v>
      </c>
      <c r="R61" s="124"/>
      <c r="S61" s="4">
        <v>54</v>
      </c>
    </row>
    <row r="62" spans="1:19">
      <c r="A62" s="91" t="s">
        <v>69</v>
      </c>
      <c r="B62" s="127">
        <f>HLOOKUP($B$7,$F$8:$Q$74,S62,FALSE)</f>
        <v>1693349.9955192702</v>
      </c>
      <c r="F62" s="126">
        <f t="shared" ref="F62:Q62" si="25">F61+F54</f>
        <v>1908134.9998112544</v>
      </c>
      <c r="G62" s="126">
        <f t="shared" si="25"/>
        <v>1730042.346506746</v>
      </c>
      <c r="H62" s="126">
        <f t="shared" si="25"/>
        <v>1712116.0286080164</v>
      </c>
      <c r="I62" s="126">
        <f t="shared" si="25"/>
        <v>1693349.9955192702</v>
      </c>
      <c r="J62" s="126">
        <f t="shared" si="25"/>
        <v>267752.87</v>
      </c>
      <c r="K62" s="126">
        <f t="shared" si="25"/>
        <v>267752.87</v>
      </c>
      <c r="L62" s="126">
        <f t="shared" si="25"/>
        <v>267752.87</v>
      </c>
      <c r="M62" s="126">
        <f t="shared" si="25"/>
        <v>267752.87</v>
      </c>
      <c r="N62" s="126">
        <f t="shared" si="25"/>
        <v>267752.87</v>
      </c>
      <c r="O62" s="126">
        <f t="shared" si="25"/>
        <v>267752.87</v>
      </c>
      <c r="P62" s="126">
        <f t="shared" si="25"/>
        <v>267752.87</v>
      </c>
      <c r="Q62" s="126">
        <f t="shared" si="25"/>
        <v>267752.87</v>
      </c>
      <c r="R62" s="124"/>
      <c r="S62" s="4">
        <v>55</v>
      </c>
    </row>
    <row r="63" spans="1:19">
      <c r="A63" s="86" t="s">
        <v>65</v>
      </c>
      <c r="B63" s="125">
        <f>IFERROR(HLOOKUP($B$7,$F$8:$Q$74,S63,FALSE),"-  ")</f>
        <v>2.3999171336094973E-3</v>
      </c>
      <c r="F63" s="125">
        <f t="shared" ref="F63:Q63" si="26">IFERROR(F61/F60,"-  ")</f>
        <v>2.1248472718966629E-5</v>
      </c>
      <c r="G63" s="125">
        <f t="shared" si="26"/>
        <v>9.2470007497162166E-4</v>
      </c>
      <c r="H63" s="125">
        <f t="shared" si="26"/>
        <v>1.2038466597831836E-3</v>
      </c>
      <c r="I63" s="125">
        <f t="shared" si="26"/>
        <v>2.3999171336094973E-3</v>
      </c>
      <c r="J63" s="125">
        <f t="shared" si="26"/>
        <v>2.3999171336094973E-3</v>
      </c>
      <c r="K63" s="125">
        <f t="shared" si="26"/>
        <v>2.3999171336094973E-3</v>
      </c>
      <c r="L63" s="125">
        <f t="shared" si="26"/>
        <v>2.3999171336094973E-3</v>
      </c>
      <c r="M63" s="125">
        <f t="shared" si="26"/>
        <v>2.3999171336094973E-3</v>
      </c>
      <c r="N63" s="125">
        <f t="shared" si="26"/>
        <v>2.3999171336094973E-3</v>
      </c>
      <c r="O63" s="125">
        <f t="shared" si="26"/>
        <v>2.3999171336094973E-3</v>
      </c>
      <c r="P63" s="125">
        <f t="shared" si="26"/>
        <v>2.3999171336094973E-3</v>
      </c>
      <c r="Q63" s="125">
        <f t="shared" si="26"/>
        <v>2.3999171336094973E-3</v>
      </c>
      <c r="R63" s="124"/>
      <c r="S63" s="4">
        <v>56</v>
      </c>
    </row>
    <row r="64" spans="1:19">
      <c r="A64" s="86" t="s">
        <v>66</v>
      </c>
      <c r="B64" s="125">
        <f>IFERROR(HLOOKUP($B$7,$F$8:$Q$74,S64,FALSE),"-  ")</f>
        <v>1.517780058695267E-2</v>
      </c>
      <c r="F64" s="125">
        <f t="shared" ref="F64:Q64" si="27">IFERROR(F62/F60,"-  ")</f>
        <v>1.7102957213071084E-2</v>
      </c>
      <c r="G64" s="125">
        <f t="shared" si="27"/>
        <v>1.5506680728581988E-2</v>
      </c>
      <c r="H64" s="125">
        <f t="shared" si="27"/>
        <v>1.5346003916909748E-2</v>
      </c>
      <c r="I64" s="125">
        <f t="shared" si="27"/>
        <v>1.517780058695267E-2</v>
      </c>
      <c r="J64" s="125">
        <f t="shared" si="27"/>
        <v>2.3999171336094973E-3</v>
      </c>
      <c r="K64" s="125">
        <f t="shared" si="27"/>
        <v>2.3999171336094973E-3</v>
      </c>
      <c r="L64" s="125">
        <f t="shared" si="27"/>
        <v>2.3999171336094973E-3</v>
      </c>
      <c r="M64" s="125">
        <f t="shared" si="27"/>
        <v>2.3999171336094973E-3</v>
      </c>
      <c r="N64" s="125">
        <f t="shared" si="27"/>
        <v>2.3999171336094973E-3</v>
      </c>
      <c r="O64" s="125">
        <f t="shared" si="27"/>
        <v>2.3999171336094973E-3</v>
      </c>
      <c r="P64" s="125">
        <f t="shared" si="27"/>
        <v>2.3999171336094973E-3</v>
      </c>
      <c r="Q64" s="125">
        <f t="shared" si="27"/>
        <v>2.3999171336094973E-3</v>
      </c>
      <c r="R64" s="124"/>
      <c r="S64" s="4">
        <v>57</v>
      </c>
    </row>
    <row r="65" spans="1:20">
      <c r="A65" s="61" t="s">
        <v>17</v>
      </c>
      <c r="B65" s="59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17"/>
      <c r="S65" s="4">
        <v>58</v>
      </c>
    </row>
    <row r="66" spans="1:20">
      <c r="A66" s="18" t="s">
        <v>18</v>
      </c>
      <c r="B66" s="123">
        <f>HLOOKUP($B$7,$F$8:$Q$74,S66,FALSE)</f>
        <v>0</v>
      </c>
      <c r="E66" s="20" t="s">
        <v>36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20">
      <c r="A67" s="18" t="s">
        <v>19</v>
      </c>
      <c r="B67" s="123">
        <f>HLOOKUP($B$7,$F$8:$Q$74,S67,FALSE)</f>
        <v>0</v>
      </c>
      <c r="E67" s="20" t="s">
        <v>36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20">
      <c r="A68" s="18" t="s">
        <v>20</v>
      </c>
      <c r="B68" s="123">
        <f>HLOOKUP($B$7,$F$8:$Q$74,S68,FALSE)</f>
        <v>0</v>
      </c>
      <c r="E68" s="20" t="s">
        <v>36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20">
      <c r="A69" s="18" t="s">
        <v>21</v>
      </c>
      <c r="B69" s="123">
        <f>HLOOKUP($B$7,$F$8:$Q$74,S69,FALSE)</f>
        <v>0</v>
      </c>
      <c r="E69" s="20" t="s">
        <v>37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20">
      <c r="A70" s="61" t="s">
        <v>8</v>
      </c>
      <c r="B70" s="59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17"/>
      <c r="S70" s="4">
        <v>63</v>
      </c>
    </row>
    <row r="71" spans="1:20">
      <c r="A71" s="18" t="s">
        <v>1</v>
      </c>
      <c r="B71" s="120">
        <f>HLOOKUP($B$7,$F$8:$Q$74,S71,FALSE)</f>
        <v>3326</v>
      </c>
      <c r="E71" s="20" t="s">
        <v>30</v>
      </c>
      <c r="F71" s="122">
        <f>87+22</f>
        <v>109</v>
      </c>
      <c r="G71" s="122">
        <f>135+1162</f>
        <v>1297</v>
      </c>
      <c r="H71" s="122">
        <v>2437</v>
      </c>
      <c r="I71" s="122">
        <v>3326</v>
      </c>
      <c r="J71" s="122"/>
      <c r="K71" s="122"/>
      <c r="L71" s="122"/>
      <c r="M71" s="122"/>
      <c r="N71" s="122"/>
      <c r="O71" s="122"/>
      <c r="P71" s="122"/>
      <c r="Q71" s="122"/>
      <c r="R71" s="117"/>
      <c r="S71" s="4">
        <v>64</v>
      </c>
    </row>
    <row r="72" spans="1:20">
      <c r="A72" s="18" t="s">
        <v>38</v>
      </c>
      <c r="B72" s="120">
        <f>HLOOKUP($B$7,$F$8:$Q$74,S72,FALSE)</f>
        <v>2088</v>
      </c>
      <c r="E72" s="20" t="s">
        <v>30</v>
      </c>
      <c r="F72" s="122">
        <v>346</v>
      </c>
      <c r="G72" s="122">
        <v>1236</v>
      </c>
      <c r="H72" s="122">
        <v>1430</v>
      </c>
      <c r="I72" s="122">
        <v>2088</v>
      </c>
      <c r="J72" s="122"/>
      <c r="K72" s="122"/>
      <c r="L72" s="122"/>
      <c r="M72" s="122"/>
      <c r="N72" s="122"/>
      <c r="O72" s="122"/>
      <c r="P72" s="122"/>
      <c r="Q72" s="122"/>
      <c r="R72" s="117"/>
      <c r="S72" s="4">
        <v>65</v>
      </c>
    </row>
    <row r="73" spans="1:20" s="4" customFormat="1">
      <c r="A73" s="61" t="s">
        <v>32</v>
      </c>
      <c r="B73" s="59"/>
      <c r="C73" s="41"/>
      <c r="E73" s="4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17"/>
      <c r="S73" s="4">
        <v>66</v>
      </c>
    </row>
    <row r="74" spans="1:20" s="4" customFormat="1">
      <c r="A74" s="18" t="s">
        <v>33</v>
      </c>
      <c r="B74" s="120">
        <f>HLOOKUP($B$7,$F$8:$Q$74,S74,FALSE)</f>
        <v>78566</v>
      </c>
      <c r="C74" s="41"/>
      <c r="E74" s="20" t="s">
        <v>34</v>
      </c>
      <c r="F74" s="119">
        <f>F3</f>
        <v>78566</v>
      </c>
      <c r="G74" s="119">
        <f>F74</f>
        <v>78566</v>
      </c>
      <c r="H74" s="118">
        <f>G74</f>
        <v>78566</v>
      </c>
      <c r="I74" s="119">
        <f>H74</f>
        <v>78566</v>
      </c>
      <c r="J74" s="119">
        <v>0</v>
      </c>
      <c r="K74" s="118"/>
      <c r="L74" s="119">
        <f>K74</f>
        <v>0</v>
      </c>
      <c r="M74" s="119">
        <f>K74</f>
        <v>0</v>
      </c>
      <c r="N74" s="118"/>
      <c r="O74" s="119">
        <f>N74</f>
        <v>0</v>
      </c>
      <c r="P74" s="119">
        <f>N74</f>
        <v>0</v>
      </c>
      <c r="Q74" s="118"/>
      <c r="R74" s="117"/>
      <c r="S74" s="4">
        <v>67</v>
      </c>
    </row>
    <row r="75" spans="1:20" s="164" customFormat="1">
      <c r="A75" s="18" t="s">
        <v>146</v>
      </c>
      <c r="B75" s="19">
        <f>HLOOKUP($B$7,$F$8:$Q$75,S75,FALSE)</f>
        <v>0</v>
      </c>
      <c r="C75" s="41"/>
      <c r="D75" s="4"/>
      <c r="E75" s="20" t="s">
        <v>34</v>
      </c>
      <c r="F75" s="42">
        <v>0</v>
      </c>
      <c r="G75" s="42">
        <v>0</v>
      </c>
      <c r="H75" s="43">
        <f t="shared" ref="H75:J75" si="28">G75</f>
        <v>0</v>
      </c>
      <c r="I75" s="42">
        <f t="shared" si="28"/>
        <v>0</v>
      </c>
      <c r="J75" s="42">
        <f t="shared" si="28"/>
        <v>0</v>
      </c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5"/>
      <c r="S75" s="4">
        <v>68</v>
      </c>
      <c r="T75" s="4"/>
    </row>
    <row r="76" spans="1:20" s="4" customFormat="1" ht="9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20" s="4" customFormat="1">
      <c r="A77" s="72" t="s">
        <v>43</v>
      </c>
      <c r="B77" s="69"/>
      <c r="C77" s="41"/>
      <c r="R77" s="68"/>
    </row>
    <row r="78" spans="1:20" s="4" customFormat="1">
      <c r="A78" s="61" t="s">
        <v>31</v>
      </c>
      <c r="B78" s="12"/>
      <c r="C78" s="41"/>
      <c r="R78" s="68"/>
    </row>
    <row r="79" spans="1:20" s="4" customFormat="1">
      <c r="A79" s="84">
        <f>VLOOKUP(B7,E88:T99,2,FALSE)</f>
        <v>0</v>
      </c>
      <c r="B79" s="70"/>
      <c r="C79" s="41"/>
      <c r="R79" s="68"/>
    </row>
    <row r="80" spans="1:20" s="4" customFormat="1">
      <c r="A80" s="61" t="s">
        <v>40</v>
      </c>
      <c r="B80" s="12"/>
      <c r="C80" s="41"/>
      <c r="R80" s="68"/>
    </row>
    <row r="81" spans="1:20" s="4" customFormat="1">
      <c r="A81" s="84">
        <f>VLOOKUP(B7,E88:T99,6,FALSE)</f>
        <v>0</v>
      </c>
      <c r="B81" s="71"/>
      <c r="C81" s="41"/>
      <c r="R81" s="68"/>
    </row>
    <row r="82" spans="1:20" s="4" customFormat="1">
      <c r="A82" s="61" t="s">
        <v>44</v>
      </c>
      <c r="B82" s="12"/>
      <c r="C82" s="41"/>
      <c r="R82" s="68"/>
    </row>
    <row r="83" spans="1:20" s="4" customFormat="1" ht="15" customHeight="1">
      <c r="A83" s="84">
        <f>VLOOKUP(B7,E88:T99,10,FALSE)</f>
        <v>0</v>
      </c>
      <c r="B83" s="73"/>
      <c r="C83" s="41"/>
      <c r="R83" s="68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20">
      <c r="A86" s="7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0"/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5" t="s">
        <v>139</v>
      </c>
      <c r="S88" s="175"/>
      <c r="T88" s="175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5"/>
      <c r="S89" s="175"/>
      <c r="T89" s="175"/>
    </row>
    <row r="90" spans="1:20">
      <c r="D90" s="41"/>
      <c r="E90" s="14">
        <v>40969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/>
      <c r="S90" s="171"/>
      <c r="T90" s="171"/>
    </row>
    <row r="91" spans="1:20">
      <c r="D91" s="41"/>
      <c r="E91" s="14">
        <v>41000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1"/>
      <c r="S91" s="171"/>
      <c r="T91" s="171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 s="3" customFormat="1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 s="3" customFormat="1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 s="3" customFormat="1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</sheetData>
  <mergeCells count="54">
    <mergeCell ref="J90:M90"/>
    <mergeCell ref="N90:Q90"/>
    <mergeCell ref="F91:I91"/>
    <mergeCell ref="J91:M91"/>
    <mergeCell ref="N91:Q91"/>
    <mergeCell ref="F90:I90"/>
    <mergeCell ref="J92:M92"/>
    <mergeCell ref="N92:Q92"/>
    <mergeCell ref="F93:I93"/>
    <mergeCell ref="J93:M93"/>
    <mergeCell ref="N93:Q93"/>
    <mergeCell ref="F92:I92"/>
    <mergeCell ref="J96:M96"/>
    <mergeCell ref="N96:Q96"/>
    <mergeCell ref="F97:I97"/>
    <mergeCell ref="J97:M97"/>
    <mergeCell ref="N97:Q97"/>
    <mergeCell ref="F96:I96"/>
    <mergeCell ref="J94:M94"/>
    <mergeCell ref="N94:Q94"/>
    <mergeCell ref="F95:I95"/>
    <mergeCell ref="J95:M95"/>
    <mergeCell ref="N95:Q95"/>
    <mergeCell ref="F94:I94"/>
    <mergeCell ref="F98:I98"/>
    <mergeCell ref="J98:M98"/>
    <mergeCell ref="N98:Q98"/>
    <mergeCell ref="F99:I99"/>
    <mergeCell ref="J99:M99"/>
    <mergeCell ref="N99:Q99"/>
    <mergeCell ref="R90:T90"/>
    <mergeCell ref="R91:T91"/>
    <mergeCell ref="D1:F1"/>
    <mergeCell ref="J87:M87"/>
    <mergeCell ref="N87:Q87"/>
    <mergeCell ref="J88:M88"/>
    <mergeCell ref="N88:Q88"/>
    <mergeCell ref="F88:I88"/>
    <mergeCell ref="D85:G85"/>
    <mergeCell ref="F87:I87"/>
    <mergeCell ref="F89:I89"/>
    <mergeCell ref="R87:T87"/>
    <mergeCell ref="R88:T88"/>
    <mergeCell ref="R89:T89"/>
    <mergeCell ref="J89:M89"/>
    <mergeCell ref="N89:Q89"/>
    <mergeCell ref="R97:T97"/>
    <mergeCell ref="R98:T98"/>
    <mergeCell ref="R99:T99"/>
    <mergeCell ref="R92:T92"/>
    <mergeCell ref="R93:T93"/>
    <mergeCell ref="R94:T94"/>
    <mergeCell ref="R95:T95"/>
    <mergeCell ref="R96:T96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fitToHeight="3" orientation="portrait" r:id="rId1"/>
  <headerFooter alignWithMargins="0"/>
  <rowBreaks count="1" manualBreakCount="1">
    <brk id="64" max="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Z100"/>
  <sheetViews>
    <sheetView showGridLines="0" topLeftCell="A41" workbookViewId="0">
      <selection activeCell="I72" sqref="I72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17" width="15.7109375" style="3" customWidth="1"/>
    <col min="18" max="18" width="15.7109375" style="63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08" t="s">
        <v>124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122</v>
      </c>
      <c r="C3" s="6"/>
      <c r="E3" s="111" t="s">
        <v>73</v>
      </c>
      <c r="F3" s="109">
        <v>36839</v>
      </c>
      <c r="G3" s="109">
        <v>36839</v>
      </c>
      <c r="H3" s="109">
        <v>36839</v>
      </c>
      <c r="I3" s="109">
        <v>36839</v>
      </c>
    </row>
    <row r="4" spans="1:19">
      <c r="A4" s="1" t="s">
        <v>9</v>
      </c>
      <c r="B4" s="113">
        <v>40841</v>
      </c>
      <c r="C4" s="8"/>
      <c r="E4" s="111" t="s">
        <v>74</v>
      </c>
      <c r="F4" s="110">
        <v>1740907</v>
      </c>
      <c r="G4" s="110">
        <v>1740907</v>
      </c>
      <c r="H4" s="110">
        <v>1740907</v>
      </c>
      <c r="I4" s="110">
        <v>1740907</v>
      </c>
      <c r="J4" s="10"/>
      <c r="K4" s="10"/>
      <c r="L4" s="10"/>
      <c r="M4" s="10"/>
      <c r="N4" s="10"/>
      <c r="O4" s="10"/>
      <c r="P4" s="10"/>
      <c r="Q4" s="10"/>
      <c r="R4" s="116"/>
    </row>
    <row r="5" spans="1:19">
      <c r="A5" s="46" t="s">
        <v>10</v>
      </c>
      <c r="B5" s="114">
        <v>40169</v>
      </c>
      <c r="C5" s="8"/>
      <c r="E5" s="111" t="s">
        <v>93</v>
      </c>
      <c r="F5" s="1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6"/>
    </row>
    <row r="6" spans="1:19">
      <c r="A6" s="1" t="s">
        <v>115</v>
      </c>
      <c r="B6" s="113" t="s">
        <v>116</v>
      </c>
      <c r="C6" s="8"/>
      <c r="E6" s="5" t="s">
        <v>117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6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6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4">
        <v>3</v>
      </c>
    </row>
    <row r="11" spans="1:19">
      <c r="A11" s="18" t="s">
        <v>12</v>
      </c>
      <c r="B11" s="19">
        <f>HLOOKUP($B$7,$F$8:$Q$74,S11,FALSE)</f>
        <v>0</v>
      </c>
      <c r="E11" s="20" t="s">
        <v>28</v>
      </c>
      <c r="F11" s="7">
        <v>0</v>
      </c>
      <c r="G11" s="7">
        <v>0</v>
      </c>
      <c r="H11" s="7">
        <v>0</v>
      </c>
      <c r="I11" s="7">
        <v>0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0</v>
      </c>
      <c r="S11" s="4">
        <v>4</v>
      </c>
    </row>
    <row r="12" spans="1:19">
      <c r="A12" s="18" t="s">
        <v>13</v>
      </c>
      <c r="B12" s="75">
        <f>HLOOKUP($B$7,$F$8:$Q$74,S12,FALSE)</f>
        <v>0</v>
      </c>
      <c r="E12" s="20" t="s">
        <v>28</v>
      </c>
      <c r="F12" s="81">
        <v>0</v>
      </c>
      <c r="G12" s="81">
        <v>0</v>
      </c>
      <c r="H12" s="81">
        <v>0</v>
      </c>
      <c r="I12" s="81">
        <v>0</v>
      </c>
      <c r="J12" s="81"/>
      <c r="K12" s="81"/>
      <c r="L12" s="81"/>
      <c r="M12" s="81"/>
      <c r="N12" s="81"/>
      <c r="O12" s="81"/>
      <c r="P12" s="81"/>
      <c r="Q12" s="81"/>
      <c r="R12" s="80">
        <f t="shared" ref="R12:R13" si="0">SUM(F12:Q12)</f>
        <v>0</v>
      </c>
      <c r="S12" s="4">
        <v>5</v>
      </c>
    </row>
    <row r="13" spans="1:19">
      <c r="A13" s="18" t="s">
        <v>123</v>
      </c>
      <c r="B13" s="19">
        <f>HLOOKUP($B$7,$F$8:$Q$74,S13,FALSE)</f>
        <v>0</v>
      </c>
      <c r="E13" s="20" t="s">
        <v>28</v>
      </c>
      <c r="F13" s="7">
        <v>0</v>
      </c>
      <c r="G13" s="7">
        <v>0</v>
      </c>
      <c r="H13" s="7">
        <v>0</v>
      </c>
      <c r="I13" s="7">
        <v>0</v>
      </c>
      <c r="J13" s="7"/>
      <c r="K13" s="7"/>
      <c r="L13" s="7"/>
      <c r="M13" s="7"/>
      <c r="N13" s="7"/>
      <c r="O13" s="7"/>
      <c r="P13" s="7"/>
      <c r="Q13" s="7"/>
      <c r="R13" s="24">
        <f t="shared" si="0"/>
        <v>0</v>
      </c>
      <c r="S13" s="4">
        <v>6</v>
      </c>
    </row>
    <row r="14" spans="1:19">
      <c r="A14" s="61" t="s">
        <v>75</v>
      </c>
      <c r="B14" s="59"/>
      <c r="E14" s="5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  <c r="S14" s="4">
        <v>7</v>
      </c>
    </row>
    <row r="15" spans="1:19">
      <c r="A15" s="1" t="s">
        <v>80</v>
      </c>
      <c r="B15" s="23">
        <f t="shared" ref="B15:B22" si="1">HLOOKUP($B$7,$F$8:$Q$74,S15,FALSE)</f>
        <v>36839</v>
      </c>
      <c r="E15" s="5"/>
      <c r="F15" s="24">
        <f>$F$3</f>
        <v>36839</v>
      </c>
      <c r="G15" s="24">
        <f t="shared" ref="G15:Q15" si="2">$F$3</f>
        <v>36839</v>
      </c>
      <c r="H15" s="24">
        <f t="shared" si="2"/>
        <v>36839</v>
      </c>
      <c r="I15" s="24">
        <f t="shared" si="2"/>
        <v>36839</v>
      </c>
      <c r="J15" s="24">
        <f t="shared" si="2"/>
        <v>36839</v>
      </c>
      <c r="K15" s="24">
        <f t="shared" si="2"/>
        <v>36839</v>
      </c>
      <c r="L15" s="24">
        <f t="shared" si="2"/>
        <v>36839</v>
      </c>
      <c r="M15" s="24">
        <f t="shared" si="2"/>
        <v>36839</v>
      </c>
      <c r="N15" s="24">
        <f t="shared" si="2"/>
        <v>36839</v>
      </c>
      <c r="O15" s="24">
        <f t="shared" si="2"/>
        <v>36839</v>
      </c>
      <c r="P15" s="24">
        <f t="shared" si="2"/>
        <v>36839</v>
      </c>
      <c r="Q15" s="24">
        <f t="shared" si="2"/>
        <v>36839</v>
      </c>
      <c r="R15" s="25"/>
      <c r="S15" s="4">
        <v>8</v>
      </c>
    </row>
    <row r="16" spans="1:19">
      <c r="A16" s="1" t="s">
        <v>81</v>
      </c>
      <c r="B16" s="23">
        <f t="shared" si="1"/>
        <v>12279.666666666666</v>
      </c>
      <c r="E16" s="5"/>
      <c r="F16" s="24">
        <f>F15*(F9/12)</f>
        <v>3069.9166666666665</v>
      </c>
      <c r="G16" s="24">
        <f t="shared" ref="G16:Q16" si="3">G15*(G9/12)</f>
        <v>6139.833333333333</v>
      </c>
      <c r="H16" s="24">
        <f t="shared" si="3"/>
        <v>9209.75</v>
      </c>
      <c r="I16" s="24">
        <f t="shared" si="3"/>
        <v>12279.666666666666</v>
      </c>
      <c r="J16" s="24">
        <f t="shared" si="3"/>
        <v>15349.583333333334</v>
      </c>
      <c r="K16" s="24">
        <f t="shared" si="3"/>
        <v>18419.5</v>
      </c>
      <c r="L16" s="24">
        <f t="shared" si="3"/>
        <v>21489.416666666668</v>
      </c>
      <c r="M16" s="24">
        <f t="shared" si="3"/>
        <v>24559.333333333332</v>
      </c>
      <c r="N16" s="24">
        <f t="shared" si="3"/>
        <v>27629.25</v>
      </c>
      <c r="O16" s="24">
        <f>O15*(O9/12)</f>
        <v>30699.166666666668</v>
      </c>
      <c r="P16" s="24">
        <f t="shared" si="3"/>
        <v>33769.083333333328</v>
      </c>
      <c r="Q16" s="24">
        <f t="shared" si="3"/>
        <v>36839</v>
      </c>
      <c r="R16" s="25"/>
      <c r="S16" s="4">
        <v>9</v>
      </c>
    </row>
    <row r="17" spans="1:19">
      <c r="A17" s="86" t="s">
        <v>79</v>
      </c>
      <c r="B17" s="19">
        <f t="shared" si="1"/>
        <v>0</v>
      </c>
      <c r="E17" s="5"/>
      <c r="F17" s="21">
        <f>F11</f>
        <v>0</v>
      </c>
      <c r="G17" s="21">
        <f>F17+G11</f>
        <v>0</v>
      </c>
      <c r="H17" s="21">
        <f t="shared" ref="H17:Q17" si="4">G17+H11</f>
        <v>0</v>
      </c>
      <c r="I17" s="21">
        <f t="shared" si="4"/>
        <v>0</v>
      </c>
      <c r="J17" s="21">
        <f t="shared" si="4"/>
        <v>0</v>
      </c>
      <c r="K17" s="21">
        <f t="shared" si="4"/>
        <v>0</v>
      </c>
      <c r="L17" s="21">
        <f t="shared" si="4"/>
        <v>0</v>
      </c>
      <c r="M17" s="21">
        <f t="shared" si="4"/>
        <v>0</v>
      </c>
      <c r="N17" s="21">
        <f t="shared" si="4"/>
        <v>0</v>
      </c>
      <c r="O17" s="21">
        <f t="shared" si="4"/>
        <v>0</v>
      </c>
      <c r="P17" s="21">
        <f t="shared" si="4"/>
        <v>0</v>
      </c>
      <c r="Q17" s="21">
        <f t="shared" si="4"/>
        <v>0</v>
      </c>
      <c r="R17" s="65"/>
      <c r="S17" s="4">
        <v>10</v>
      </c>
    </row>
    <row r="18" spans="1:19">
      <c r="A18" s="86" t="s">
        <v>11</v>
      </c>
      <c r="B18" s="19">
        <f t="shared" si="1"/>
        <v>8944.7999999999993</v>
      </c>
      <c r="E18" s="20" t="s">
        <v>30</v>
      </c>
      <c r="F18" s="7">
        <v>0</v>
      </c>
      <c r="G18" s="7">
        <v>0</v>
      </c>
      <c r="H18" s="7">
        <v>0</v>
      </c>
      <c r="I18" s="7">
        <v>8944.7999999999993</v>
      </c>
      <c r="J18" s="7"/>
      <c r="K18" s="7"/>
      <c r="L18" s="7"/>
      <c r="M18" s="7"/>
      <c r="N18" s="7"/>
      <c r="O18" s="7"/>
      <c r="P18" s="7"/>
      <c r="Q18" s="7"/>
      <c r="R18" s="65"/>
      <c r="S18" s="4">
        <v>11</v>
      </c>
    </row>
    <row r="19" spans="1:19">
      <c r="A19" s="87" t="s">
        <v>45</v>
      </c>
      <c r="B19" s="51">
        <f t="shared" si="1"/>
        <v>8944.7999999999993</v>
      </c>
      <c r="C19" s="92"/>
      <c r="D19" s="92"/>
      <c r="E19" s="92"/>
      <c r="F19" s="26">
        <f>F17+F18</f>
        <v>0</v>
      </c>
      <c r="G19" s="26">
        <f t="shared" ref="G19:Q19" si="5">G17+G18</f>
        <v>0</v>
      </c>
      <c r="H19" s="26">
        <f t="shared" si="5"/>
        <v>0</v>
      </c>
      <c r="I19" s="26">
        <f t="shared" si="5"/>
        <v>8944.7999999999993</v>
      </c>
      <c r="J19" s="26">
        <f t="shared" si="5"/>
        <v>0</v>
      </c>
      <c r="K19" s="26">
        <f t="shared" si="5"/>
        <v>0</v>
      </c>
      <c r="L19" s="26">
        <f t="shared" si="5"/>
        <v>0</v>
      </c>
      <c r="M19" s="26">
        <f t="shared" si="5"/>
        <v>0</v>
      </c>
      <c r="N19" s="26">
        <f t="shared" si="5"/>
        <v>0</v>
      </c>
      <c r="O19" s="26">
        <f t="shared" si="5"/>
        <v>0</v>
      </c>
      <c r="P19" s="26">
        <f t="shared" si="5"/>
        <v>0</v>
      </c>
      <c r="Q19" s="26">
        <f t="shared" si="5"/>
        <v>0</v>
      </c>
      <c r="R19" s="25"/>
      <c r="S19" s="4">
        <v>12</v>
      </c>
    </row>
    <row r="20" spans="1:19">
      <c r="A20" s="86" t="s">
        <v>7</v>
      </c>
      <c r="B20" s="88">
        <f t="shared" si="1"/>
        <v>0</v>
      </c>
      <c r="F20" s="88">
        <f>F17/F15</f>
        <v>0</v>
      </c>
      <c r="G20" s="88">
        <f t="shared" ref="G20:Q20" si="6">G17/G15</f>
        <v>0</v>
      </c>
      <c r="H20" s="88">
        <f t="shared" si="6"/>
        <v>0</v>
      </c>
      <c r="I20" s="88">
        <f t="shared" si="6"/>
        <v>0</v>
      </c>
      <c r="J20" s="88">
        <f t="shared" si="6"/>
        <v>0</v>
      </c>
      <c r="K20" s="88">
        <f t="shared" si="6"/>
        <v>0</v>
      </c>
      <c r="L20" s="88">
        <f t="shared" si="6"/>
        <v>0</v>
      </c>
      <c r="M20" s="88">
        <f t="shared" si="6"/>
        <v>0</v>
      </c>
      <c r="N20" s="88">
        <f t="shared" si="6"/>
        <v>0</v>
      </c>
      <c r="O20" s="88">
        <f t="shared" si="6"/>
        <v>0</v>
      </c>
      <c r="P20" s="88">
        <f t="shared" si="6"/>
        <v>0</v>
      </c>
      <c r="Q20" s="88">
        <f t="shared" si="6"/>
        <v>0</v>
      </c>
      <c r="R20" s="97"/>
      <c r="S20" s="4">
        <v>13</v>
      </c>
    </row>
    <row r="21" spans="1:19">
      <c r="A21" s="86" t="s">
        <v>49</v>
      </c>
      <c r="B21" s="88">
        <f t="shared" si="1"/>
        <v>0.2428078938081924</v>
      </c>
      <c r="F21" s="88">
        <f>F19/F15</f>
        <v>0</v>
      </c>
      <c r="G21" s="88">
        <f t="shared" ref="G21:Q21" si="7">G19/G15</f>
        <v>0</v>
      </c>
      <c r="H21" s="88">
        <f t="shared" si="7"/>
        <v>0</v>
      </c>
      <c r="I21" s="88">
        <f t="shared" si="7"/>
        <v>0.2428078938081924</v>
      </c>
      <c r="J21" s="88">
        <f t="shared" si="7"/>
        <v>0</v>
      </c>
      <c r="K21" s="88">
        <f t="shared" si="7"/>
        <v>0</v>
      </c>
      <c r="L21" s="88">
        <f t="shared" si="7"/>
        <v>0</v>
      </c>
      <c r="M21" s="88">
        <f t="shared" si="7"/>
        <v>0</v>
      </c>
      <c r="N21" s="88">
        <f t="shared" si="7"/>
        <v>0</v>
      </c>
      <c r="O21" s="88">
        <f t="shared" si="7"/>
        <v>0</v>
      </c>
      <c r="P21" s="88">
        <f t="shared" si="7"/>
        <v>0</v>
      </c>
      <c r="Q21" s="88">
        <f t="shared" si="7"/>
        <v>0</v>
      </c>
      <c r="R21" s="97"/>
      <c r="S21" s="4">
        <v>14</v>
      </c>
    </row>
    <row r="22" spans="1:19">
      <c r="A22" s="86" t="s">
        <v>6</v>
      </c>
      <c r="B22" s="88">
        <f t="shared" si="1"/>
        <v>0</v>
      </c>
      <c r="F22" s="88">
        <f>F17/F16</f>
        <v>0</v>
      </c>
      <c r="G22" s="88">
        <f t="shared" ref="G22:Q22" si="8">G17/G16</f>
        <v>0</v>
      </c>
      <c r="H22" s="88">
        <f t="shared" si="8"/>
        <v>0</v>
      </c>
      <c r="I22" s="88">
        <f t="shared" si="8"/>
        <v>0</v>
      </c>
      <c r="J22" s="88">
        <f t="shared" si="8"/>
        <v>0</v>
      </c>
      <c r="K22" s="88">
        <f t="shared" si="8"/>
        <v>0</v>
      </c>
      <c r="L22" s="88">
        <f t="shared" si="8"/>
        <v>0</v>
      </c>
      <c r="M22" s="88">
        <f t="shared" si="8"/>
        <v>0</v>
      </c>
      <c r="N22" s="88">
        <f t="shared" si="8"/>
        <v>0</v>
      </c>
      <c r="O22" s="88">
        <f t="shared" si="8"/>
        <v>0</v>
      </c>
      <c r="P22" s="88">
        <f t="shared" si="8"/>
        <v>0</v>
      </c>
      <c r="Q22" s="88">
        <f t="shared" si="8"/>
        <v>0</v>
      </c>
      <c r="R22" s="97"/>
      <c r="S22" s="4">
        <v>15</v>
      </c>
    </row>
    <row r="23" spans="1:19">
      <c r="A23" s="61" t="s">
        <v>76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5"/>
      <c r="S23" s="4">
        <v>16</v>
      </c>
    </row>
    <row r="24" spans="1:19">
      <c r="A24" s="86" t="s">
        <v>82</v>
      </c>
      <c r="B24" s="75">
        <f>HLOOKUP($B$7,$F$8:$Q$74,S24,FALSE)</f>
        <v>0</v>
      </c>
      <c r="E24" s="76"/>
      <c r="F24" s="75">
        <f>F12</f>
        <v>0</v>
      </c>
      <c r="G24" s="75">
        <f t="shared" ref="G24:Q24" si="9">F24+G12</f>
        <v>0</v>
      </c>
      <c r="H24" s="75">
        <f t="shared" si="9"/>
        <v>0</v>
      </c>
      <c r="I24" s="75">
        <f t="shared" si="9"/>
        <v>0</v>
      </c>
      <c r="J24" s="75">
        <f t="shared" si="9"/>
        <v>0</v>
      </c>
      <c r="K24" s="75">
        <f t="shared" si="9"/>
        <v>0</v>
      </c>
      <c r="L24" s="75">
        <f t="shared" si="9"/>
        <v>0</v>
      </c>
      <c r="M24" s="75">
        <f t="shared" si="9"/>
        <v>0</v>
      </c>
      <c r="N24" s="75">
        <f t="shared" si="9"/>
        <v>0</v>
      </c>
      <c r="O24" s="75">
        <f t="shared" si="9"/>
        <v>0</v>
      </c>
      <c r="P24" s="75">
        <f t="shared" si="9"/>
        <v>0</v>
      </c>
      <c r="Q24" s="75">
        <f t="shared" si="9"/>
        <v>0</v>
      </c>
      <c r="R24" s="25"/>
      <c r="S24" s="4">
        <v>17</v>
      </c>
    </row>
    <row r="25" spans="1:19">
      <c r="A25" s="86" t="s">
        <v>14</v>
      </c>
      <c r="B25" s="75">
        <f>HLOOKUP($B$7,$F$8:$Q$74,S25,FALSE)</f>
        <v>0</v>
      </c>
      <c r="E25" s="20" t="s">
        <v>30</v>
      </c>
      <c r="F25" s="81">
        <v>0</v>
      </c>
      <c r="G25" s="81">
        <v>0</v>
      </c>
      <c r="H25" s="81">
        <v>0</v>
      </c>
      <c r="I25" s="81">
        <v>0</v>
      </c>
      <c r="J25" s="81"/>
      <c r="K25" s="81"/>
      <c r="L25" s="81"/>
      <c r="M25" s="81"/>
      <c r="N25" s="81"/>
      <c r="O25" s="81"/>
      <c r="P25" s="81"/>
      <c r="Q25" s="81"/>
      <c r="R25" s="25"/>
      <c r="S25" s="4">
        <v>18</v>
      </c>
    </row>
    <row r="26" spans="1:19">
      <c r="A26" s="89" t="s">
        <v>47</v>
      </c>
      <c r="B26" s="83">
        <f>HLOOKUP($B$7,$F$8:$Q$74,S26,FALSE)</f>
        <v>0</v>
      </c>
      <c r="C26" s="92"/>
      <c r="D26" s="92"/>
      <c r="E26" s="99"/>
      <c r="F26" s="83">
        <f>F24+F25</f>
        <v>0</v>
      </c>
      <c r="G26" s="83">
        <f>G24+G25</f>
        <v>0</v>
      </c>
      <c r="H26" s="83">
        <f t="shared" ref="H26:Q26" si="10">H24+H25</f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>
        <f t="shared" si="10"/>
        <v>0</v>
      </c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25"/>
      <c r="S26" s="4">
        <v>19</v>
      </c>
    </row>
    <row r="27" spans="1:19">
      <c r="A27" s="61" t="s">
        <v>77</v>
      </c>
      <c r="B27" s="5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  <c r="S27" s="4">
        <v>20</v>
      </c>
    </row>
    <row r="28" spans="1:19">
      <c r="A28" s="86" t="s">
        <v>83</v>
      </c>
      <c r="B28" s="19">
        <f>HLOOKUP($B$7,$F$8:$Q$74,S28,FALSE)</f>
        <v>0</v>
      </c>
      <c r="F28" s="29">
        <f>F13</f>
        <v>0</v>
      </c>
      <c r="G28" s="29">
        <f t="shared" ref="G28:Q28" si="11">F28+G13</f>
        <v>0</v>
      </c>
      <c r="H28" s="29">
        <f t="shared" si="11"/>
        <v>0</v>
      </c>
      <c r="I28" s="29">
        <f t="shared" si="11"/>
        <v>0</v>
      </c>
      <c r="J28" s="29">
        <f t="shared" si="11"/>
        <v>0</v>
      </c>
      <c r="K28" s="29">
        <f t="shared" si="11"/>
        <v>0</v>
      </c>
      <c r="L28" s="29">
        <f t="shared" si="11"/>
        <v>0</v>
      </c>
      <c r="M28" s="29">
        <f t="shared" si="11"/>
        <v>0</v>
      </c>
      <c r="N28" s="29">
        <f t="shared" si="11"/>
        <v>0</v>
      </c>
      <c r="O28" s="29">
        <f t="shared" si="11"/>
        <v>0</v>
      </c>
      <c r="P28" s="29">
        <f t="shared" si="11"/>
        <v>0</v>
      </c>
      <c r="Q28" s="29">
        <f t="shared" si="11"/>
        <v>0</v>
      </c>
      <c r="R28" s="64"/>
      <c r="S28" s="4">
        <v>21</v>
      </c>
    </row>
    <row r="29" spans="1:19">
      <c r="A29" s="86" t="s">
        <v>15</v>
      </c>
      <c r="B29" s="19">
        <f>HLOOKUP($B$7,$F$8:$Q$74,S29,FALSE)</f>
        <v>0</v>
      </c>
      <c r="E29" s="20" t="s">
        <v>30</v>
      </c>
      <c r="F29" s="7">
        <v>0</v>
      </c>
      <c r="G29" s="7">
        <v>0</v>
      </c>
      <c r="H29" s="7">
        <v>0</v>
      </c>
      <c r="I29" s="7">
        <v>0</v>
      </c>
      <c r="J29" s="7"/>
      <c r="K29" s="7"/>
      <c r="L29" s="7"/>
      <c r="M29" s="7"/>
      <c r="N29" s="7"/>
      <c r="O29" s="7"/>
      <c r="P29" s="7"/>
      <c r="Q29" s="7"/>
      <c r="R29" s="64"/>
      <c r="S29" s="4">
        <v>22</v>
      </c>
    </row>
    <row r="30" spans="1:19">
      <c r="A30" s="89" t="s">
        <v>26</v>
      </c>
      <c r="B30" s="51">
        <f>HLOOKUP($B$7,$F$8:$Q$74,S30,FALSE)</f>
        <v>0</v>
      </c>
      <c r="C30" s="92"/>
      <c r="D30" s="92"/>
      <c r="E30" s="92"/>
      <c r="F30" s="95">
        <f>F28+F29</f>
        <v>0</v>
      </c>
      <c r="G30" s="95">
        <f>G28+G29</f>
        <v>0</v>
      </c>
      <c r="H30" s="95">
        <f t="shared" ref="H30:Q30" si="12">H28+H29</f>
        <v>0</v>
      </c>
      <c r="I30" s="95">
        <f t="shared" si="12"/>
        <v>0</v>
      </c>
      <c r="J30" s="95">
        <f t="shared" si="12"/>
        <v>0</v>
      </c>
      <c r="K30" s="95">
        <f t="shared" si="12"/>
        <v>0</v>
      </c>
      <c r="L30" s="95">
        <f t="shared" si="12"/>
        <v>0</v>
      </c>
      <c r="M30" s="95">
        <f t="shared" si="12"/>
        <v>0</v>
      </c>
      <c r="N30" s="95">
        <f t="shared" si="12"/>
        <v>0</v>
      </c>
      <c r="O30" s="95">
        <f t="shared" si="12"/>
        <v>0</v>
      </c>
      <c r="P30" s="95">
        <f t="shared" si="12"/>
        <v>0</v>
      </c>
      <c r="Q30" s="95">
        <f t="shared" si="12"/>
        <v>0</v>
      </c>
      <c r="R30" s="64"/>
      <c r="S30" s="4">
        <v>23</v>
      </c>
    </row>
    <row r="31" spans="1:19">
      <c r="A31" s="61" t="s">
        <v>94</v>
      </c>
      <c r="B31" s="5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  <c r="S31" s="4">
        <v>24</v>
      </c>
    </row>
    <row r="32" spans="1:19">
      <c r="A32" s="90" t="s">
        <v>50</v>
      </c>
      <c r="B32" s="49">
        <f t="shared" ref="B32:B40" si="13">HLOOKUP($B$7,$F$8:$Q$74,S32,FALSE)</f>
        <v>2929.07</v>
      </c>
      <c r="E32" s="20" t="s">
        <v>28</v>
      </c>
      <c r="F32" s="9">
        <v>423.36</v>
      </c>
      <c r="G32" s="9">
        <v>5452.67</v>
      </c>
      <c r="H32" s="9">
        <v>1895.6699999999996</v>
      </c>
      <c r="I32" s="9">
        <v>2929.07</v>
      </c>
      <c r="J32" s="9"/>
      <c r="K32" s="9"/>
      <c r="L32" s="9"/>
      <c r="M32" s="9"/>
      <c r="N32" s="9"/>
      <c r="O32" s="9"/>
      <c r="P32" s="9"/>
      <c r="Q32" s="9"/>
      <c r="R32" s="85">
        <f>SUM(F32:Q32)</f>
        <v>10700.769999999999</v>
      </c>
      <c r="S32" s="4">
        <v>25</v>
      </c>
    </row>
    <row r="33" spans="1:19">
      <c r="A33" s="90" t="s">
        <v>51</v>
      </c>
      <c r="B33" s="49">
        <f t="shared" si="13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ref="R33:R37" si="14">SUM(F33:Q33)</f>
        <v>0</v>
      </c>
      <c r="S33" s="4">
        <v>26</v>
      </c>
    </row>
    <row r="34" spans="1:19">
      <c r="A34" s="90" t="s">
        <v>52</v>
      </c>
      <c r="B34" s="49">
        <f t="shared" si="13"/>
        <v>5436.66</v>
      </c>
      <c r="E34" s="20" t="s">
        <v>28</v>
      </c>
      <c r="F34" s="9">
        <v>251.85999999999999</v>
      </c>
      <c r="G34" s="9">
        <v>870.83</v>
      </c>
      <c r="H34" s="9">
        <v>1192.4000000000001</v>
      </c>
      <c r="I34" s="9">
        <v>5436.66</v>
      </c>
      <c r="J34" s="9"/>
      <c r="K34" s="9"/>
      <c r="L34" s="9"/>
      <c r="M34" s="9"/>
      <c r="N34" s="9"/>
      <c r="O34" s="9"/>
      <c r="P34" s="9"/>
      <c r="Q34" s="9"/>
      <c r="R34" s="85">
        <f t="shared" si="14"/>
        <v>7751.75</v>
      </c>
      <c r="S34" s="4">
        <v>27</v>
      </c>
    </row>
    <row r="35" spans="1:19">
      <c r="A35" s="90" t="s">
        <v>53</v>
      </c>
      <c r="B35" s="49">
        <f t="shared" si="13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4"/>
        <v>0</v>
      </c>
      <c r="S35" s="4">
        <v>28</v>
      </c>
    </row>
    <row r="36" spans="1:19">
      <c r="A36" s="90" t="s">
        <v>54</v>
      </c>
      <c r="B36" s="49">
        <f t="shared" si="13"/>
        <v>0</v>
      </c>
      <c r="E36" s="20" t="s">
        <v>28</v>
      </c>
      <c r="F36" s="9">
        <v>0</v>
      </c>
      <c r="G36" s="9">
        <v>0</v>
      </c>
      <c r="H36" s="9">
        <v>7850</v>
      </c>
      <c r="I36" s="9">
        <v>0</v>
      </c>
      <c r="J36" s="9"/>
      <c r="K36" s="9"/>
      <c r="L36" s="9"/>
      <c r="M36" s="9"/>
      <c r="N36" s="9"/>
      <c r="O36" s="9"/>
      <c r="P36" s="9"/>
      <c r="Q36" s="9"/>
      <c r="R36" s="85">
        <f t="shared" si="14"/>
        <v>7850</v>
      </c>
      <c r="S36" s="4">
        <v>29</v>
      </c>
    </row>
    <row r="37" spans="1:19">
      <c r="A37" s="90" t="s">
        <v>55</v>
      </c>
      <c r="B37" s="49">
        <f t="shared" si="13"/>
        <v>71269.22</v>
      </c>
      <c r="E37" s="20" t="s">
        <v>28</v>
      </c>
      <c r="F37" s="9">
        <v>0</v>
      </c>
      <c r="G37" s="9">
        <v>0</v>
      </c>
      <c r="H37" s="9">
        <v>0</v>
      </c>
      <c r="I37" s="9">
        <v>71269.22</v>
      </c>
      <c r="J37" s="9"/>
      <c r="K37" s="9"/>
      <c r="L37" s="9"/>
      <c r="M37" s="9"/>
      <c r="N37" s="9"/>
      <c r="O37" s="9"/>
      <c r="P37" s="9"/>
      <c r="Q37" s="9"/>
      <c r="R37" s="85">
        <f t="shared" si="14"/>
        <v>71269.22</v>
      </c>
      <c r="S37" s="4">
        <v>30</v>
      </c>
    </row>
    <row r="38" spans="1:19">
      <c r="A38" s="90" t="s">
        <v>56</v>
      </c>
      <c r="B38" s="49">
        <f t="shared" si="13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>SUM(F38:Q38)</f>
        <v>0</v>
      </c>
      <c r="S38" s="4">
        <v>31</v>
      </c>
    </row>
    <row r="39" spans="1:19">
      <c r="A39" s="90" t="s">
        <v>95</v>
      </c>
      <c r="B39" s="49">
        <f t="shared" si="13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>
        <f>SUM(F39:Q39)</f>
        <v>0</v>
      </c>
      <c r="S39" s="4">
        <v>32</v>
      </c>
    </row>
    <row r="40" spans="1:19">
      <c r="A40" s="89" t="s">
        <v>57</v>
      </c>
      <c r="B40" s="35">
        <f t="shared" si="13"/>
        <v>79634.95</v>
      </c>
      <c r="C40" s="92"/>
      <c r="D40" s="92"/>
      <c r="E40" s="92"/>
      <c r="F40" s="96">
        <f>SUM(F32:F39)</f>
        <v>675.22</v>
      </c>
      <c r="G40" s="96">
        <f t="shared" ref="G40:Q40" si="15">SUM(G32:G39)</f>
        <v>6323.5</v>
      </c>
      <c r="H40" s="96">
        <f t="shared" si="15"/>
        <v>10938.07</v>
      </c>
      <c r="I40" s="96">
        <f t="shared" si="15"/>
        <v>79634.95</v>
      </c>
      <c r="J40" s="96">
        <f t="shared" si="15"/>
        <v>0</v>
      </c>
      <c r="K40" s="96">
        <f t="shared" si="15"/>
        <v>0</v>
      </c>
      <c r="L40" s="96">
        <f t="shared" si="15"/>
        <v>0</v>
      </c>
      <c r="M40" s="96">
        <f t="shared" si="15"/>
        <v>0</v>
      </c>
      <c r="N40" s="96">
        <f t="shared" si="15"/>
        <v>0</v>
      </c>
      <c r="O40" s="96">
        <f t="shared" si="15"/>
        <v>0</v>
      </c>
      <c r="P40" s="96">
        <f t="shared" si="15"/>
        <v>0</v>
      </c>
      <c r="Q40" s="96">
        <f t="shared" si="15"/>
        <v>0</v>
      </c>
      <c r="R40" s="66">
        <f>SUM(F40:Q40)</f>
        <v>97571.739999999991</v>
      </c>
      <c r="S40" s="4">
        <v>33</v>
      </c>
    </row>
    <row r="41" spans="1:19">
      <c r="A41" s="61" t="s">
        <v>96</v>
      </c>
      <c r="B41" s="5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5"/>
      <c r="S41" s="4">
        <v>34</v>
      </c>
    </row>
    <row r="42" spans="1:19">
      <c r="A42" s="90" t="s">
        <v>100</v>
      </c>
      <c r="B42" s="98">
        <f>HLOOKUP($B$7,$F$8:$Q$74,S42,FALSE)</f>
        <v>4004.5316058679068</v>
      </c>
      <c r="E42" s="20" t="s">
        <v>30</v>
      </c>
      <c r="F42" s="9">
        <v>0</v>
      </c>
      <c r="G42" s="9">
        <v>0</v>
      </c>
      <c r="H42" s="9">
        <v>0</v>
      </c>
      <c r="I42" s="9">
        <v>4004.5316058679068</v>
      </c>
      <c r="J42" s="9"/>
      <c r="K42" s="9"/>
      <c r="L42" s="9"/>
      <c r="M42" s="9"/>
      <c r="N42" s="9"/>
      <c r="O42" s="9"/>
      <c r="P42" s="9"/>
      <c r="Q42" s="9"/>
      <c r="R42" s="25"/>
      <c r="S42" s="4">
        <v>35</v>
      </c>
    </row>
    <row r="43" spans="1:19">
      <c r="A43" s="90" t="s">
        <v>101</v>
      </c>
      <c r="B43" s="98">
        <f t="shared" ref="B43:B49" si="16">HLOOKUP($B$7,$F$8:$Q$74,S43,FALSE)</f>
        <v>231.05330833761926</v>
      </c>
      <c r="E43" s="20" t="s">
        <v>30</v>
      </c>
      <c r="F43" s="9">
        <v>0</v>
      </c>
      <c r="G43" s="9">
        <v>0</v>
      </c>
      <c r="H43" s="9">
        <v>0</v>
      </c>
      <c r="I43" s="9">
        <v>231.05330833761926</v>
      </c>
      <c r="J43" s="9"/>
      <c r="K43" s="9"/>
      <c r="L43" s="9"/>
      <c r="M43" s="9"/>
      <c r="N43" s="9"/>
      <c r="O43" s="9"/>
      <c r="P43" s="9"/>
      <c r="Q43" s="9"/>
      <c r="R43" s="25"/>
      <c r="S43" s="4">
        <v>36</v>
      </c>
    </row>
    <row r="44" spans="1:19">
      <c r="A44" s="90" t="s">
        <v>102</v>
      </c>
      <c r="B44" s="98">
        <f t="shared" si="16"/>
        <v>3831.8677822457307</v>
      </c>
      <c r="E44" s="20" t="s">
        <v>30</v>
      </c>
      <c r="F44" s="9">
        <v>0</v>
      </c>
      <c r="G44" s="9">
        <v>0</v>
      </c>
      <c r="H44" s="9">
        <v>0</v>
      </c>
      <c r="I44" s="9">
        <v>3831.8677822457307</v>
      </c>
      <c r="J44" s="9"/>
      <c r="K44" s="9"/>
      <c r="L44" s="9"/>
      <c r="M44" s="9"/>
      <c r="N44" s="9"/>
      <c r="O44" s="9"/>
      <c r="P44" s="9"/>
      <c r="Q44" s="9"/>
      <c r="R44" s="25"/>
      <c r="S44" s="4">
        <v>37</v>
      </c>
    </row>
    <row r="45" spans="1:19">
      <c r="A45" s="90" t="s">
        <v>103</v>
      </c>
      <c r="B45" s="98">
        <f t="shared" si="16"/>
        <v>0.66416427960776159</v>
      </c>
      <c r="E45" s="20" t="s">
        <v>30</v>
      </c>
      <c r="F45" s="9">
        <v>0</v>
      </c>
      <c r="G45" s="9">
        <v>0</v>
      </c>
      <c r="H45" s="9">
        <v>0</v>
      </c>
      <c r="I45" s="9">
        <v>0.66416427960776159</v>
      </c>
      <c r="J45" s="9"/>
      <c r="K45" s="9"/>
      <c r="L45" s="9"/>
      <c r="M45" s="9"/>
      <c r="N45" s="9"/>
      <c r="O45" s="9"/>
      <c r="P45" s="9"/>
      <c r="Q45" s="9"/>
      <c r="R45" s="25"/>
      <c r="S45" s="4">
        <v>38</v>
      </c>
    </row>
    <row r="46" spans="1:19">
      <c r="A46" s="90" t="s">
        <v>104</v>
      </c>
      <c r="B46" s="98">
        <f t="shared" si="16"/>
        <v>8910.0075409489873</v>
      </c>
      <c r="E46" s="20" t="s">
        <v>30</v>
      </c>
      <c r="F46" s="9">
        <v>0</v>
      </c>
      <c r="G46" s="9">
        <v>0</v>
      </c>
      <c r="H46" s="9">
        <v>0</v>
      </c>
      <c r="I46" s="9">
        <v>8910.0075409489873</v>
      </c>
      <c r="J46" s="9"/>
      <c r="K46" s="9"/>
      <c r="L46" s="9"/>
      <c r="M46" s="9"/>
      <c r="N46" s="9"/>
      <c r="O46" s="9"/>
      <c r="P46" s="9"/>
      <c r="Q46" s="9"/>
      <c r="R46" s="25"/>
      <c r="S46" s="4">
        <v>39</v>
      </c>
    </row>
    <row r="47" spans="1:19">
      <c r="A47" s="90" t="s">
        <v>105</v>
      </c>
      <c r="B47" s="98">
        <f t="shared" si="16"/>
        <v>12488.73002200976</v>
      </c>
      <c r="E47" s="20" t="s">
        <v>30</v>
      </c>
      <c r="F47" s="9">
        <v>0</v>
      </c>
      <c r="G47" s="9">
        <v>0</v>
      </c>
      <c r="H47" s="9">
        <v>0</v>
      </c>
      <c r="I47" s="9">
        <v>12488.73002200976</v>
      </c>
      <c r="J47" s="9"/>
      <c r="K47" s="9"/>
      <c r="L47" s="9"/>
      <c r="M47" s="9"/>
      <c r="N47" s="9"/>
      <c r="O47" s="9"/>
      <c r="P47" s="9"/>
      <c r="Q47" s="9"/>
      <c r="R47" s="25"/>
      <c r="S47" s="4">
        <v>40</v>
      </c>
    </row>
    <row r="48" spans="1:19">
      <c r="A48" s="90" t="s">
        <v>106</v>
      </c>
      <c r="B48" s="98">
        <f t="shared" si="16"/>
        <v>1430.3055004240507</v>
      </c>
      <c r="E48" s="20" t="s">
        <v>30</v>
      </c>
      <c r="F48" s="9">
        <v>0</v>
      </c>
      <c r="G48" s="9">
        <v>0</v>
      </c>
      <c r="H48" s="9">
        <v>0</v>
      </c>
      <c r="I48" s="9">
        <v>1430.3055004240507</v>
      </c>
      <c r="J48" s="9"/>
      <c r="K48" s="9"/>
      <c r="L48" s="9"/>
      <c r="M48" s="9"/>
      <c r="N48" s="9"/>
      <c r="O48" s="9"/>
      <c r="P48" s="9"/>
      <c r="Q48" s="9"/>
      <c r="R48" s="25"/>
      <c r="S48" s="4">
        <v>41</v>
      </c>
    </row>
    <row r="49" spans="1:19">
      <c r="A49" s="90" t="s">
        <v>107</v>
      </c>
      <c r="B49" s="98">
        <f t="shared" si="16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5"/>
      <c r="S49" s="4">
        <v>42</v>
      </c>
    </row>
    <row r="50" spans="1:19">
      <c r="A50" s="61" t="s">
        <v>78</v>
      </c>
      <c r="B50" s="5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4">
        <v>43</v>
      </c>
    </row>
    <row r="51" spans="1:19">
      <c r="A51" s="1" t="s">
        <v>71</v>
      </c>
      <c r="B51" s="31">
        <f t="shared" ref="B51:B58" si="17">HLOOKUP($B$7,$F$8:$Q$74,S51,FALSE)</f>
        <v>1740907</v>
      </c>
      <c r="F51" s="32">
        <f>$F$4+$F$5</f>
        <v>1740907</v>
      </c>
      <c r="G51" s="32">
        <f t="shared" ref="G51:Q51" si="18">$F$4+$F$5</f>
        <v>1740907</v>
      </c>
      <c r="H51" s="32">
        <f t="shared" si="18"/>
        <v>1740907</v>
      </c>
      <c r="I51" s="32">
        <f t="shared" si="18"/>
        <v>1740907</v>
      </c>
      <c r="J51" s="32">
        <f t="shared" si="18"/>
        <v>1740907</v>
      </c>
      <c r="K51" s="32">
        <f t="shared" si="18"/>
        <v>1740907</v>
      </c>
      <c r="L51" s="32">
        <f t="shared" si="18"/>
        <v>1740907</v>
      </c>
      <c r="M51" s="32">
        <f t="shared" si="18"/>
        <v>1740907</v>
      </c>
      <c r="N51" s="32">
        <f t="shared" si="18"/>
        <v>1740907</v>
      </c>
      <c r="O51" s="32">
        <f t="shared" si="18"/>
        <v>1740907</v>
      </c>
      <c r="P51" s="32">
        <f t="shared" si="18"/>
        <v>1740907</v>
      </c>
      <c r="Q51" s="32">
        <f t="shared" si="18"/>
        <v>1740907</v>
      </c>
      <c r="R51" s="62"/>
      <c r="S51" s="4">
        <v>44</v>
      </c>
    </row>
    <row r="52" spans="1:19">
      <c r="A52" s="1" t="s">
        <v>72</v>
      </c>
      <c r="B52" s="31">
        <f t="shared" si="17"/>
        <v>580302.33333333326</v>
      </c>
      <c r="F52" s="33">
        <f t="shared" ref="F52:Q52" si="19">F51*(F9/12)</f>
        <v>145075.58333333331</v>
      </c>
      <c r="G52" s="33">
        <f t="shared" si="19"/>
        <v>290151.16666666663</v>
      </c>
      <c r="H52" s="33">
        <f t="shared" si="19"/>
        <v>435226.75</v>
      </c>
      <c r="I52" s="33">
        <f t="shared" si="19"/>
        <v>580302.33333333326</v>
      </c>
      <c r="J52" s="33">
        <f t="shared" si="19"/>
        <v>725377.91666666674</v>
      </c>
      <c r="K52" s="33">
        <f t="shared" si="19"/>
        <v>870453.5</v>
      </c>
      <c r="L52" s="33">
        <f t="shared" si="19"/>
        <v>1015529.0833333334</v>
      </c>
      <c r="M52" s="33">
        <f t="shared" si="19"/>
        <v>1160604.6666666665</v>
      </c>
      <c r="N52" s="33">
        <f t="shared" si="19"/>
        <v>1305680.25</v>
      </c>
      <c r="O52" s="33">
        <f t="shared" si="19"/>
        <v>1450755.8333333335</v>
      </c>
      <c r="P52" s="33">
        <f t="shared" si="19"/>
        <v>1595831.4166666665</v>
      </c>
      <c r="Q52" s="33">
        <f t="shared" si="19"/>
        <v>1740907</v>
      </c>
      <c r="R52" s="64"/>
      <c r="S52" s="4">
        <v>45</v>
      </c>
    </row>
    <row r="53" spans="1:19">
      <c r="A53" s="86" t="s">
        <v>67</v>
      </c>
      <c r="B53" s="98">
        <f t="shared" si="17"/>
        <v>97571.739999999991</v>
      </c>
      <c r="F53" s="37">
        <f>SUM(F32:F38)</f>
        <v>675.22</v>
      </c>
      <c r="G53" s="37">
        <f t="shared" ref="G53:Q53" si="20">F53+G40</f>
        <v>6998.72</v>
      </c>
      <c r="H53" s="37">
        <f t="shared" si="20"/>
        <v>17936.79</v>
      </c>
      <c r="I53" s="37">
        <f t="shared" si="20"/>
        <v>97571.739999999991</v>
      </c>
      <c r="J53" s="37">
        <f t="shared" si="20"/>
        <v>97571.739999999991</v>
      </c>
      <c r="K53" s="37">
        <f t="shared" si="20"/>
        <v>97571.739999999991</v>
      </c>
      <c r="L53" s="37">
        <f t="shared" si="20"/>
        <v>97571.739999999991</v>
      </c>
      <c r="M53" s="37">
        <f t="shared" si="20"/>
        <v>97571.739999999991</v>
      </c>
      <c r="N53" s="37">
        <f t="shared" si="20"/>
        <v>97571.739999999991</v>
      </c>
      <c r="O53" s="37">
        <f t="shared" si="20"/>
        <v>97571.739999999991</v>
      </c>
      <c r="P53" s="37">
        <f t="shared" si="20"/>
        <v>97571.739999999991</v>
      </c>
      <c r="Q53" s="37">
        <f t="shared" si="20"/>
        <v>97571.739999999991</v>
      </c>
      <c r="R53" s="67"/>
      <c r="S53" s="4">
        <v>46</v>
      </c>
    </row>
    <row r="54" spans="1:19">
      <c r="A54" s="86" t="s">
        <v>97</v>
      </c>
      <c r="B54" s="98">
        <f t="shared" si="17"/>
        <v>30897.159924113665</v>
      </c>
      <c r="E54" s="3"/>
      <c r="F54" s="37">
        <f>SUM(F42:F49)</f>
        <v>0</v>
      </c>
      <c r="G54" s="37">
        <f t="shared" ref="G54:Q54" si="21">SUM(G42:G49)</f>
        <v>0</v>
      </c>
      <c r="H54" s="37">
        <f t="shared" si="21"/>
        <v>0</v>
      </c>
      <c r="I54" s="37">
        <f t="shared" si="21"/>
        <v>30897.159924113665</v>
      </c>
      <c r="J54" s="37">
        <f t="shared" si="21"/>
        <v>0</v>
      </c>
      <c r="K54" s="37">
        <f t="shared" si="21"/>
        <v>0</v>
      </c>
      <c r="L54" s="37">
        <f t="shared" si="21"/>
        <v>0</v>
      </c>
      <c r="M54" s="37">
        <f t="shared" si="21"/>
        <v>0</v>
      </c>
      <c r="N54" s="37">
        <f t="shared" si="21"/>
        <v>0</v>
      </c>
      <c r="O54" s="37">
        <f t="shared" si="21"/>
        <v>0</v>
      </c>
      <c r="P54" s="37">
        <f t="shared" si="21"/>
        <v>0</v>
      </c>
      <c r="Q54" s="37">
        <f t="shared" si="21"/>
        <v>0</v>
      </c>
      <c r="R54" s="67"/>
      <c r="S54" s="4">
        <v>47</v>
      </c>
    </row>
    <row r="55" spans="1:19">
      <c r="A55" s="91" t="s">
        <v>68</v>
      </c>
      <c r="B55" s="35">
        <f t="shared" si="17"/>
        <v>128468.89992411365</v>
      </c>
      <c r="C55" s="92"/>
      <c r="D55" s="92"/>
      <c r="E55" s="93"/>
      <c r="F55" s="36">
        <f>F53+F54</f>
        <v>675.22</v>
      </c>
      <c r="G55" s="36">
        <f t="shared" ref="G55:Q55" si="22">G53+G54</f>
        <v>6998.72</v>
      </c>
      <c r="H55" s="36">
        <f t="shared" si="22"/>
        <v>17936.79</v>
      </c>
      <c r="I55" s="36">
        <f t="shared" si="22"/>
        <v>128468.89992411365</v>
      </c>
      <c r="J55" s="36">
        <f t="shared" si="22"/>
        <v>97571.739999999991</v>
      </c>
      <c r="K55" s="36">
        <f t="shared" si="22"/>
        <v>97571.739999999991</v>
      </c>
      <c r="L55" s="36">
        <f>L53+L54</f>
        <v>97571.739999999991</v>
      </c>
      <c r="M55" s="36">
        <f t="shared" si="22"/>
        <v>97571.739999999991</v>
      </c>
      <c r="N55" s="36">
        <f t="shared" si="22"/>
        <v>97571.739999999991</v>
      </c>
      <c r="O55" s="36">
        <f t="shared" si="22"/>
        <v>97571.739999999991</v>
      </c>
      <c r="P55" s="36">
        <f t="shared" si="22"/>
        <v>97571.739999999991</v>
      </c>
      <c r="Q55" s="36">
        <f t="shared" si="22"/>
        <v>97571.739999999991</v>
      </c>
      <c r="R55" s="67"/>
      <c r="S55" s="4">
        <v>48</v>
      </c>
    </row>
    <row r="56" spans="1:19">
      <c r="A56" s="86" t="s">
        <v>84</v>
      </c>
      <c r="B56" s="88">
        <f t="shared" si="17"/>
        <v>5.6046497601537584E-2</v>
      </c>
      <c r="F56" s="88">
        <f>F53/F51</f>
        <v>3.8785529611863243E-4</v>
      </c>
      <c r="G56" s="88">
        <f t="shared" ref="G56:Q56" si="23">G53/G51</f>
        <v>4.0201573088051229E-3</v>
      </c>
      <c r="H56" s="88">
        <f t="shared" si="23"/>
        <v>1.0303129345795038E-2</v>
      </c>
      <c r="I56" s="88">
        <f t="shared" si="23"/>
        <v>5.6046497601537584E-2</v>
      </c>
      <c r="J56" s="88">
        <f t="shared" si="23"/>
        <v>5.6046497601537584E-2</v>
      </c>
      <c r="K56" s="88">
        <f t="shared" si="23"/>
        <v>5.6046497601537584E-2</v>
      </c>
      <c r="L56" s="88">
        <f>L53/L51</f>
        <v>5.6046497601537584E-2</v>
      </c>
      <c r="M56" s="88">
        <f t="shared" si="23"/>
        <v>5.6046497601537584E-2</v>
      </c>
      <c r="N56" s="88">
        <f t="shared" si="23"/>
        <v>5.6046497601537584E-2</v>
      </c>
      <c r="O56" s="88">
        <f t="shared" si="23"/>
        <v>5.6046497601537584E-2</v>
      </c>
      <c r="P56" s="88">
        <f t="shared" si="23"/>
        <v>5.6046497601537584E-2</v>
      </c>
      <c r="Q56" s="88">
        <f t="shared" si="23"/>
        <v>5.6046497601537584E-2</v>
      </c>
      <c r="R56" s="97"/>
      <c r="S56" s="4">
        <v>49</v>
      </c>
    </row>
    <row r="57" spans="1:19">
      <c r="A57" s="86" t="s">
        <v>85</v>
      </c>
      <c r="B57" s="88">
        <f t="shared" si="17"/>
        <v>7.3794234800660607E-2</v>
      </c>
      <c r="F57" s="88">
        <f>F55/F51</f>
        <v>3.8785529611863243E-4</v>
      </c>
      <c r="G57" s="88">
        <f t="shared" ref="G57:Q57" si="24">G55/G51</f>
        <v>4.0201573088051229E-3</v>
      </c>
      <c r="H57" s="88">
        <f t="shared" si="24"/>
        <v>1.0303129345795038E-2</v>
      </c>
      <c r="I57" s="88">
        <f t="shared" si="24"/>
        <v>7.3794234800660607E-2</v>
      </c>
      <c r="J57" s="88">
        <f t="shared" si="24"/>
        <v>5.6046497601537584E-2</v>
      </c>
      <c r="K57" s="88">
        <f t="shared" si="24"/>
        <v>5.6046497601537584E-2</v>
      </c>
      <c r="L57" s="88">
        <f>L55/L51</f>
        <v>5.6046497601537584E-2</v>
      </c>
      <c r="M57" s="88">
        <f t="shared" si="24"/>
        <v>5.6046497601537584E-2</v>
      </c>
      <c r="N57" s="88">
        <f t="shared" si="24"/>
        <v>5.6046497601537584E-2</v>
      </c>
      <c r="O57" s="88">
        <f t="shared" si="24"/>
        <v>5.6046497601537584E-2</v>
      </c>
      <c r="P57" s="88">
        <f t="shared" si="24"/>
        <v>5.6046497601537584E-2</v>
      </c>
      <c r="Q57" s="88">
        <f t="shared" si="24"/>
        <v>5.6046497601537584E-2</v>
      </c>
      <c r="R57" s="97"/>
      <c r="S57" s="4">
        <v>50</v>
      </c>
    </row>
    <row r="58" spans="1:19">
      <c r="A58" s="86" t="s">
        <v>86</v>
      </c>
      <c r="B58" s="88">
        <f t="shared" si="17"/>
        <v>0.16813949280461277</v>
      </c>
      <c r="F58" s="88">
        <f>F53/F52</f>
        <v>4.6542635534235896E-3</v>
      </c>
      <c r="G58" s="88">
        <f t="shared" ref="G58:Q58" si="25">G53/G52</f>
        <v>2.4120943852830742E-2</v>
      </c>
      <c r="H58" s="88">
        <f t="shared" si="25"/>
        <v>4.1212517383180151E-2</v>
      </c>
      <c r="I58" s="88">
        <f t="shared" si="25"/>
        <v>0.16813949280461277</v>
      </c>
      <c r="J58" s="88">
        <f t="shared" si="25"/>
        <v>0.13451159424369019</v>
      </c>
      <c r="K58" s="88">
        <f t="shared" si="25"/>
        <v>0.11209299520307517</v>
      </c>
      <c r="L58" s="88">
        <f t="shared" si="25"/>
        <v>9.6079710174064428E-2</v>
      </c>
      <c r="M58" s="88">
        <f t="shared" si="25"/>
        <v>8.4069746402306383E-2</v>
      </c>
      <c r="N58" s="88">
        <f t="shared" si="25"/>
        <v>7.4728663468716774E-2</v>
      </c>
      <c r="O58" s="88">
        <f t="shared" si="25"/>
        <v>6.7255797121845096E-2</v>
      </c>
      <c r="P58" s="88">
        <f t="shared" si="25"/>
        <v>6.1141633747131913E-2</v>
      </c>
      <c r="Q58" s="88">
        <f t="shared" si="25"/>
        <v>5.6046497601537584E-2</v>
      </c>
      <c r="R58" s="97"/>
      <c r="S58" s="4">
        <v>51</v>
      </c>
    </row>
    <row r="59" spans="1:19">
      <c r="A59" s="61" t="s">
        <v>63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7"/>
      <c r="S59" s="4">
        <v>52</v>
      </c>
    </row>
    <row r="60" spans="1:19">
      <c r="A60" s="1" t="s">
        <v>64</v>
      </c>
      <c r="B60" s="31">
        <f>HLOOKUP($B$7,$F$8:$Q$74,S60,FALSE)</f>
        <v>6963628</v>
      </c>
      <c r="F60" s="102">
        <f>SUM($F$4:$I$4)+$F$5</f>
        <v>6963628</v>
      </c>
      <c r="G60" s="102">
        <f t="shared" ref="G60:Q60" si="26">SUM($F$4:$I$4)+$F$5</f>
        <v>6963628</v>
      </c>
      <c r="H60" s="102">
        <f t="shared" si="26"/>
        <v>6963628</v>
      </c>
      <c r="I60" s="102">
        <f t="shared" si="26"/>
        <v>6963628</v>
      </c>
      <c r="J60" s="102">
        <f t="shared" si="26"/>
        <v>6963628</v>
      </c>
      <c r="K60" s="102">
        <f t="shared" si="26"/>
        <v>6963628</v>
      </c>
      <c r="L60" s="102">
        <f t="shared" si="26"/>
        <v>6963628</v>
      </c>
      <c r="M60" s="102">
        <f t="shared" si="26"/>
        <v>6963628</v>
      </c>
      <c r="N60" s="102">
        <f t="shared" si="26"/>
        <v>6963628</v>
      </c>
      <c r="O60" s="102">
        <f t="shared" si="26"/>
        <v>6963628</v>
      </c>
      <c r="P60" s="102">
        <f t="shared" si="26"/>
        <v>6963628</v>
      </c>
      <c r="Q60" s="102">
        <f t="shared" si="26"/>
        <v>6963628</v>
      </c>
      <c r="R60" s="97"/>
      <c r="S60" s="4">
        <v>53</v>
      </c>
    </row>
    <row r="61" spans="1:19">
      <c r="A61" s="86" t="s">
        <v>70</v>
      </c>
      <c r="B61" s="98">
        <f>HLOOKUP($B$7,$F$8:$Q$74,S61,FALSE)</f>
        <v>97571.739999999991</v>
      </c>
      <c r="F61" s="101">
        <f>F53</f>
        <v>675.22</v>
      </c>
      <c r="G61" s="101">
        <f t="shared" ref="G61:Q61" si="27">G53</f>
        <v>6998.72</v>
      </c>
      <c r="H61" s="101">
        <f t="shared" si="27"/>
        <v>17936.79</v>
      </c>
      <c r="I61" s="101">
        <f t="shared" si="27"/>
        <v>97571.739999999991</v>
      </c>
      <c r="J61" s="101">
        <f t="shared" si="27"/>
        <v>97571.739999999991</v>
      </c>
      <c r="K61" s="101">
        <f t="shared" si="27"/>
        <v>97571.739999999991</v>
      </c>
      <c r="L61" s="101">
        <f t="shared" si="27"/>
        <v>97571.739999999991</v>
      </c>
      <c r="M61" s="101">
        <f t="shared" si="27"/>
        <v>97571.739999999991</v>
      </c>
      <c r="N61" s="101">
        <f t="shared" si="27"/>
        <v>97571.739999999991</v>
      </c>
      <c r="O61" s="101">
        <f t="shared" si="27"/>
        <v>97571.739999999991</v>
      </c>
      <c r="P61" s="101">
        <f t="shared" si="27"/>
        <v>97571.739999999991</v>
      </c>
      <c r="Q61" s="101">
        <f t="shared" si="27"/>
        <v>97571.739999999991</v>
      </c>
      <c r="R61" s="97"/>
      <c r="S61" s="4">
        <v>54</v>
      </c>
    </row>
    <row r="62" spans="1:19">
      <c r="A62" s="91" t="s">
        <v>69</v>
      </c>
      <c r="B62" s="106">
        <f>HLOOKUP($B$7,$F$8:$Q$74,S62,FALSE)</f>
        <v>128468.89992411365</v>
      </c>
      <c r="F62" s="35">
        <f>F61+F54</f>
        <v>675.22</v>
      </c>
      <c r="G62" s="35">
        <f>G61+G54</f>
        <v>6998.72</v>
      </c>
      <c r="H62" s="35">
        <f t="shared" ref="H62:Q62" si="28">H61+H54</f>
        <v>17936.79</v>
      </c>
      <c r="I62" s="35">
        <f t="shared" si="28"/>
        <v>128468.89992411365</v>
      </c>
      <c r="J62" s="35">
        <f t="shared" si="28"/>
        <v>97571.739999999991</v>
      </c>
      <c r="K62" s="35">
        <f t="shared" si="28"/>
        <v>97571.739999999991</v>
      </c>
      <c r="L62" s="35">
        <f t="shared" si="28"/>
        <v>97571.739999999991</v>
      </c>
      <c r="M62" s="35">
        <f t="shared" si="28"/>
        <v>97571.739999999991</v>
      </c>
      <c r="N62" s="35">
        <f t="shared" si="28"/>
        <v>97571.739999999991</v>
      </c>
      <c r="O62" s="35">
        <f t="shared" si="28"/>
        <v>97571.739999999991</v>
      </c>
      <c r="P62" s="35">
        <f t="shared" si="28"/>
        <v>97571.739999999991</v>
      </c>
      <c r="Q62" s="35">
        <f t="shared" si="28"/>
        <v>97571.739999999991</v>
      </c>
      <c r="R62" s="97"/>
      <c r="S62" s="4">
        <v>55</v>
      </c>
    </row>
    <row r="63" spans="1:19">
      <c r="A63" s="86" t="s">
        <v>65</v>
      </c>
      <c r="B63" s="88">
        <f>HLOOKUP($B$7,$F$8:$Q$74,S63,FALSE)</f>
        <v>1.4011624400384396E-2</v>
      </c>
      <c r="F63" s="88">
        <f>F61/F60</f>
        <v>9.6963824029658107E-5</v>
      </c>
      <c r="G63" s="88">
        <f t="shared" ref="G63:Q63" si="29">G61/G60</f>
        <v>1.0050393272012807E-3</v>
      </c>
      <c r="H63" s="88">
        <f t="shared" si="29"/>
        <v>2.5757823364487595E-3</v>
      </c>
      <c r="I63" s="88">
        <f t="shared" si="29"/>
        <v>1.4011624400384396E-2</v>
      </c>
      <c r="J63" s="88">
        <f t="shared" si="29"/>
        <v>1.4011624400384396E-2</v>
      </c>
      <c r="K63" s="88">
        <f t="shared" si="29"/>
        <v>1.4011624400384396E-2</v>
      </c>
      <c r="L63" s="88">
        <f t="shared" si="29"/>
        <v>1.4011624400384396E-2</v>
      </c>
      <c r="M63" s="88">
        <f t="shared" si="29"/>
        <v>1.4011624400384396E-2</v>
      </c>
      <c r="N63" s="88">
        <f t="shared" si="29"/>
        <v>1.4011624400384396E-2</v>
      </c>
      <c r="O63" s="88">
        <f t="shared" si="29"/>
        <v>1.4011624400384396E-2</v>
      </c>
      <c r="P63" s="88">
        <f t="shared" si="29"/>
        <v>1.4011624400384396E-2</v>
      </c>
      <c r="Q63" s="88">
        <f t="shared" si="29"/>
        <v>1.4011624400384396E-2</v>
      </c>
      <c r="R63" s="97"/>
      <c r="S63" s="4">
        <v>56</v>
      </c>
    </row>
    <row r="64" spans="1:19">
      <c r="A64" s="86" t="s">
        <v>66</v>
      </c>
      <c r="B64" s="88">
        <f>HLOOKUP($B$7,$F$8:$Q$74,S64,FALSE)</f>
        <v>1.8448558700165152E-2</v>
      </c>
      <c r="F64" s="88">
        <f>F62/F60</f>
        <v>9.6963824029658107E-5</v>
      </c>
      <c r="G64" s="88">
        <f t="shared" ref="G64:Q64" si="30">G62/G60</f>
        <v>1.0050393272012807E-3</v>
      </c>
      <c r="H64" s="88">
        <f t="shared" si="30"/>
        <v>2.5757823364487595E-3</v>
      </c>
      <c r="I64" s="88">
        <f t="shared" si="30"/>
        <v>1.8448558700165152E-2</v>
      </c>
      <c r="J64" s="88">
        <f t="shared" si="30"/>
        <v>1.4011624400384396E-2</v>
      </c>
      <c r="K64" s="88">
        <f t="shared" si="30"/>
        <v>1.4011624400384396E-2</v>
      </c>
      <c r="L64" s="88">
        <f t="shared" si="30"/>
        <v>1.4011624400384396E-2</v>
      </c>
      <c r="M64" s="88">
        <f t="shared" si="30"/>
        <v>1.4011624400384396E-2</v>
      </c>
      <c r="N64" s="88">
        <f t="shared" si="30"/>
        <v>1.4011624400384396E-2</v>
      </c>
      <c r="O64" s="88">
        <f t="shared" si="30"/>
        <v>1.4011624400384396E-2</v>
      </c>
      <c r="P64" s="88">
        <f t="shared" si="30"/>
        <v>1.4011624400384396E-2</v>
      </c>
      <c r="Q64" s="88">
        <f t="shared" si="30"/>
        <v>1.4011624400384396E-2</v>
      </c>
      <c r="R64" s="97"/>
      <c r="S64" s="4">
        <v>57</v>
      </c>
    </row>
    <row r="65" spans="1:26">
      <c r="A65" s="61" t="s">
        <v>17</v>
      </c>
      <c r="B65" s="5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5"/>
      <c r="S65" s="4">
        <v>58</v>
      </c>
    </row>
    <row r="66" spans="1:26">
      <c r="A66" s="18" t="s">
        <v>18</v>
      </c>
      <c r="B66" s="40">
        <f>HLOOKUP($B$7,$F$8:$Q$74,S66,FALSE)</f>
        <v>0</v>
      </c>
      <c r="E66" s="20" t="s">
        <v>36</v>
      </c>
      <c r="F66" s="58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26">
      <c r="A67" s="18" t="s">
        <v>19</v>
      </c>
      <c r="B67" s="40">
        <f>HLOOKUP($B$7,$F$8:$Q$74,S67,FALSE)</f>
        <v>0</v>
      </c>
      <c r="E67" s="20" t="s">
        <v>36</v>
      </c>
      <c r="F67" s="58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26">
      <c r="A68" s="18" t="s">
        <v>20</v>
      </c>
      <c r="B68" s="40">
        <f>HLOOKUP($B$7,$F$8:$Q$74,S68,FALSE)</f>
        <v>0</v>
      </c>
      <c r="E68" s="20" t="s">
        <v>36</v>
      </c>
      <c r="F68" s="58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26">
      <c r="A69" s="18" t="s">
        <v>21</v>
      </c>
      <c r="B69" s="40">
        <f>HLOOKUP($B$7,$F$8:$Q$74,S69,FALSE)</f>
        <v>0.9</v>
      </c>
      <c r="E69" s="20" t="s">
        <v>37</v>
      </c>
      <c r="F69" s="58">
        <v>0.9</v>
      </c>
      <c r="G69" s="58">
        <v>0.9</v>
      </c>
      <c r="H69" s="159">
        <v>0.9</v>
      </c>
      <c r="I69" s="159">
        <v>0.9</v>
      </c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26">
      <c r="A70" s="61" t="s">
        <v>8</v>
      </c>
      <c r="B70" s="5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5"/>
      <c r="S70" s="4">
        <v>63</v>
      </c>
    </row>
    <row r="71" spans="1:26">
      <c r="A71" s="18" t="s">
        <v>1</v>
      </c>
      <c r="B71" s="19">
        <f>HLOOKUP($B$7,$F$8:$Q$74,S71,FALSE)</f>
        <v>3</v>
      </c>
      <c r="E71" s="20" t="s">
        <v>30</v>
      </c>
      <c r="F71" s="7">
        <v>1</v>
      </c>
      <c r="G71" s="7">
        <v>1</v>
      </c>
      <c r="H71" s="7">
        <v>2</v>
      </c>
      <c r="I71" s="7">
        <v>3</v>
      </c>
      <c r="J71" s="7"/>
      <c r="K71" s="7"/>
      <c r="L71" s="7"/>
      <c r="M71" s="7"/>
      <c r="N71" s="7"/>
      <c r="O71" s="7"/>
      <c r="P71" s="7"/>
      <c r="Q71" s="7"/>
      <c r="R71" s="25"/>
      <c r="S71" s="4">
        <v>64</v>
      </c>
    </row>
    <row r="72" spans="1:26">
      <c r="A72" s="18" t="s">
        <v>38</v>
      </c>
      <c r="B72" s="19">
        <f>HLOOKUP($B$7,$F$8:$Q$74,S72,FALSE)</f>
        <v>1</v>
      </c>
      <c r="E72" s="20" t="s">
        <v>30</v>
      </c>
      <c r="F72" s="7">
        <v>0</v>
      </c>
      <c r="G72" s="7">
        <v>0</v>
      </c>
      <c r="H72" s="7">
        <v>0</v>
      </c>
      <c r="I72" s="7">
        <v>1</v>
      </c>
      <c r="J72" s="7"/>
      <c r="K72" s="7"/>
      <c r="L72" s="7"/>
      <c r="M72" s="7"/>
      <c r="N72" s="7"/>
      <c r="O72" s="7"/>
      <c r="P72" s="7"/>
      <c r="Q72" s="7"/>
      <c r="R72" s="25"/>
      <c r="S72" s="4">
        <v>65</v>
      </c>
    </row>
    <row r="73" spans="1:26" s="4" customFormat="1">
      <c r="A73" s="61" t="s">
        <v>32</v>
      </c>
      <c r="B73" s="59"/>
      <c r="C73" s="41"/>
      <c r="E73" s="4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5"/>
      <c r="S73" s="4">
        <v>66</v>
      </c>
    </row>
    <row r="74" spans="1:26" s="4" customFormat="1">
      <c r="A74" s="18" t="s">
        <v>46</v>
      </c>
      <c r="B74" s="19">
        <f>HLOOKUP($B$7,$F$8:$Q$74,S74,FALSE)</f>
        <v>29471.200000000001</v>
      </c>
      <c r="C74" s="41"/>
      <c r="E74" s="20" t="s">
        <v>34</v>
      </c>
      <c r="F74" s="42">
        <v>29471.200000000001</v>
      </c>
      <c r="G74" s="42">
        <f>F74</f>
        <v>29471.200000000001</v>
      </c>
      <c r="H74" s="43">
        <f>G74</f>
        <v>29471.200000000001</v>
      </c>
      <c r="I74" s="42">
        <f>H74</f>
        <v>29471.200000000001</v>
      </c>
      <c r="J74" s="42"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5"/>
      <c r="S74" s="4">
        <v>67</v>
      </c>
    </row>
    <row r="75" spans="1:26" s="164" customFormat="1">
      <c r="A75" s="18" t="s">
        <v>147</v>
      </c>
      <c r="B75" s="19">
        <f>HLOOKUP($B$7,$F$8:$Q$75,S75,FALSE)</f>
        <v>0</v>
      </c>
      <c r="C75" s="52"/>
      <c r="D75" s="53"/>
      <c r="E75" s="54" t="s">
        <v>34</v>
      </c>
      <c r="F75" s="42">
        <v>0</v>
      </c>
      <c r="G75" s="42">
        <v>0</v>
      </c>
      <c r="H75" s="43">
        <v>0</v>
      </c>
      <c r="I75" s="42">
        <f>H75</f>
        <v>0</v>
      </c>
      <c r="J75" s="42"/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8"/>
      <c r="S75" s="4">
        <v>68</v>
      </c>
      <c r="T75" s="4"/>
      <c r="U75" s="4"/>
      <c r="V75" s="4"/>
      <c r="W75" s="4"/>
      <c r="X75" s="4"/>
      <c r="Y75" s="4"/>
      <c r="Z75" s="4"/>
    </row>
    <row r="76" spans="1:26" s="4" customFormat="1" ht="24" customHeight="1">
      <c r="A76" s="12"/>
      <c r="B76" s="12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26" s="4" customFormat="1" ht="9" customHeight="1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68"/>
    </row>
    <row r="78" spans="1:26" s="4" customFormat="1">
      <c r="A78" s="72" t="s">
        <v>43</v>
      </c>
      <c r="B78" s="69"/>
      <c r="C78" s="41"/>
      <c r="R78" s="68"/>
    </row>
    <row r="79" spans="1:26" s="4" customFormat="1">
      <c r="A79" s="61" t="s">
        <v>31</v>
      </c>
      <c r="B79" s="12"/>
      <c r="C79" s="41"/>
      <c r="R79" s="68"/>
    </row>
    <row r="80" spans="1:26" s="4" customFormat="1">
      <c r="A80" s="84">
        <f>VLOOKUP(B7,E89:T100,2,FALSE)</f>
        <v>0</v>
      </c>
      <c r="B80" s="70"/>
      <c r="C80" s="41"/>
      <c r="R80" s="68"/>
    </row>
    <row r="81" spans="1:20" s="4" customFormat="1">
      <c r="A81" s="61" t="s">
        <v>40</v>
      </c>
      <c r="B81" s="12"/>
      <c r="C81" s="41"/>
      <c r="R81" s="68"/>
    </row>
    <row r="82" spans="1:20" s="4" customFormat="1">
      <c r="A82" s="84">
        <f>VLOOKUP(B7,E89:T100,6,FALSE)</f>
        <v>0</v>
      </c>
      <c r="B82" s="71"/>
      <c r="C82" s="41"/>
      <c r="R82" s="68"/>
    </row>
    <row r="83" spans="1:20" s="4" customFormat="1">
      <c r="A83" s="61" t="s">
        <v>44</v>
      </c>
      <c r="B83" s="12"/>
      <c r="C83" s="41"/>
      <c r="R83" s="68"/>
    </row>
    <row r="84" spans="1:20" s="4" customFormat="1" ht="15" customHeight="1">
      <c r="A84" s="84">
        <f>VLOOKUP(B7,E89:T100,10,FALSE)</f>
        <v>0</v>
      </c>
      <c r="B84" s="73"/>
      <c r="C84" s="41"/>
      <c r="R84" s="68"/>
    </row>
    <row r="85" spans="1:20">
      <c r="A85" s="61" t="s">
        <v>61</v>
      </c>
    </row>
    <row r="86" spans="1:20">
      <c r="A86" s="84">
        <f>VLOOKUP(B7,E89:T100,14,FALSE)</f>
        <v>0</v>
      </c>
      <c r="D86" s="172" t="s">
        <v>42</v>
      </c>
      <c r="E86" s="172"/>
      <c r="F86" s="172"/>
      <c r="G86" s="172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9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1:20">
      <c r="A88" s="70"/>
      <c r="D88" s="41"/>
      <c r="E88" s="3"/>
      <c r="F88" s="173" t="s">
        <v>31</v>
      </c>
      <c r="G88" s="173"/>
      <c r="H88" s="173"/>
      <c r="I88" s="173"/>
      <c r="J88" s="173" t="s">
        <v>40</v>
      </c>
      <c r="K88" s="173"/>
      <c r="L88" s="173"/>
      <c r="M88" s="173"/>
      <c r="N88" s="173" t="s">
        <v>41</v>
      </c>
      <c r="O88" s="173"/>
      <c r="P88" s="173"/>
      <c r="Q88" s="173"/>
      <c r="R88" s="173" t="s">
        <v>61</v>
      </c>
      <c r="S88" s="173"/>
      <c r="T88" s="173"/>
    </row>
    <row r="89" spans="1:20">
      <c r="D89" s="41"/>
      <c r="E89" s="14">
        <v>40909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1" t="s">
        <v>151</v>
      </c>
      <c r="S89" s="171"/>
      <c r="T89" s="171"/>
    </row>
    <row r="90" spans="1:20">
      <c r="D90" s="41"/>
      <c r="E90" s="14">
        <v>40940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 t="s">
        <v>152</v>
      </c>
      <c r="S90" s="171"/>
      <c r="T90" s="171"/>
    </row>
    <row r="91" spans="1:20">
      <c r="D91" s="41"/>
      <c r="E91" s="14">
        <v>40969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1" t="s">
        <v>153</v>
      </c>
      <c r="S91" s="171"/>
      <c r="T91" s="171"/>
    </row>
    <row r="92" spans="1:20">
      <c r="D92" s="41"/>
      <c r="E92" s="14">
        <v>41000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41030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41061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41091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1"/>
      <c r="E96" s="14">
        <v>41122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>
      <c r="D97" s="44"/>
      <c r="E97" s="14">
        <v>41153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>
      <c r="D98" s="44"/>
      <c r="E98" s="14">
        <v>41183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>
      <c r="D99" s="44"/>
      <c r="E99" s="14">
        <v>41214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  <row r="100" spans="4:20">
      <c r="D100" s="44"/>
      <c r="E100" s="14">
        <v>41244</v>
      </c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1"/>
      <c r="S100" s="171"/>
      <c r="T100" s="171"/>
    </row>
  </sheetData>
  <mergeCells count="54">
    <mergeCell ref="F99:I99"/>
    <mergeCell ref="J99:M99"/>
    <mergeCell ref="N99:Q99"/>
    <mergeCell ref="R99:T99"/>
    <mergeCell ref="F100:I100"/>
    <mergeCell ref="J100:M100"/>
    <mergeCell ref="N100:Q100"/>
    <mergeCell ref="R100:T100"/>
    <mergeCell ref="F97:I97"/>
    <mergeCell ref="J97:M97"/>
    <mergeCell ref="N97:Q97"/>
    <mergeCell ref="R97:T97"/>
    <mergeCell ref="F98:I98"/>
    <mergeCell ref="J98:M98"/>
    <mergeCell ref="N98:Q98"/>
    <mergeCell ref="R98:T98"/>
    <mergeCell ref="F95:I95"/>
    <mergeCell ref="J95:M95"/>
    <mergeCell ref="N95:Q95"/>
    <mergeCell ref="R95:T95"/>
    <mergeCell ref="F96:I96"/>
    <mergeCell ref="J96:M96"/>
    <mergeCell ref="N96:Q96"/>
    <mergeCell ref="R96:T96"/>
    <mergeCell ref="F93:I93"/>
    <mergeCell ref="J93:M93"/>
    <mergeCell ref="N93:Q93"/>
    <mergeCell ref="R93:T93"/>
    <mergeCell ref="F94:I94"/>
    <mergeCell ref="J94:M94"/>
    <mergeCell ref="N94:Q94"/>
    <mergeCell ref="R94:T94"/>
    <mergeCell ref="F91:I91"/>
    <mergeCell ref="J91:M91"/>
    <mergeCell ref="N91:Q91"/>
    <mergeCell ref="R91:T91"/>
    <mergeCell ref="F92:I92"/>
    <mergeCell ref="J92:M92"/>
    <mergeCell ref="N92:Q92"/>
    <mergeCell ref="R92:T92"/>
    <mergeCell ref="F89:I89"/>
    <mergeCell ref="J89:M89"/>
    <mergeCell ref="N89:Q89"/>
    <mergeCell ref="R89:T89"/>
    <mergeCell ref="F90:I90"/>
    <mergeCell ref="J90:M90"/>
    <mergeCell ref="N90:Q90"/>
    <mergeCell ref="R90:T90"/>
    <mergeCell ref="F88:I88"/>
    <mergeCell ref="J88:M88"/>
    <mergeCell ref="N88:Q88"/>
    <mergeCell ref="R88:T88"/>
    <mergeCell ref="D1:F1"/>
    <mergeCell ref="D86:G86"/>
  </mergeCells>
  <dataValidations count="1">
    <dataValidation type="list" showInputMessage="1" showErrorMessage="1" sqref="B7">
      <formula1>$F$8:$Q$8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99"/>
  <sheetViews>
    <sheetView topLeftCell="A41" zoomScaleNormal="100" workbookViewId="0">
      <pane xSplit="1" topLeftCell="B1" activePane="topRight" state="frozen"/>
      <selection activeCell="E8" sqref="E8"/>
      <selection pane="topRight" activeCell="I72" sqref="I72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17" width="15.7109375" style="3" customWidth="1"/>
    <col min="18" max="18" width="15.7109375" style="63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08" t="s">
        <v>112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110</v>
      </c>
      <c r="C3" s="6"/>
      <c r="E3" s="111" t="s">
        <v>114</v>
      </c>
      <c r="F3" s="109">
        <v>8614</v>
      </c>
      <c r="G3" s="109">
        <v>8614</v>
      </c>
      <c r="H3" s="109">
        <v>8614</v>
      </c>
      <c r="I3" s="109">
        <v>8614</v>
      </c>
    </row>
    <row r="4" spans="1:19">
      <c r="A4" s="1" t="s">
        <v>9</v>
      </c>
      <c r="B4" s="113">
        <v>40957</v>
      </c>
      <c r="C4" s="8"/>
      <c r="E4" s="111" t="s">
        <v>74</v>
      </c>
      <c r="F4" s="110">
        <v>7373304</v>
      </c>
      <c r="G4" s="110">
        <v>7373304</v>
      </c>
      <c r="H4" s="110">
        <v>7373304</v>
      </c>
      <c r="I4" s="110">
        <v>7373304</v>
      </c>
      <c r="J4" s="10"/>
      <c r="K4" s="10"/>
      <c r="L4" s="10"/>
      <c r="M4" s="10"/>
      <c r="N4" s="10"/>
      <c r="O4" s="10"/>
      <c r="P4" s="10"/>
      <c r="Q4" s="10"/>
      <c r="R4" s="55"/>
    </row>
    <row r="5" spans="1:19">
      <c r="A5" s="46" t="s">
        <v>10</v>
      </c>
      <c r="B5" s="114">
        <v>40547</v>
      </c>
      <c r="C5" s="8"/>
      <c r="E5" s="111" t="s">
        <v>93</v>
      </c>
      <c r="F5" s="1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55"/>
    </row>
    <row r="6" spans="1:19">
      <c r="A6" s="1" t="s">
        <v>99</v>
      </c>
      <c r="B6" s="113">
        <v>40909</v>
      </c>
      <c r="C6" s="8"/>
      <c r="E6" s="5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7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55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4">
        <v>3</v>
      </c>
    </row>
    <row r="11" spans="1:19">
      <c r="A11" s="18" t="s">
        <v>22</v>
      </c>
      <c r="B11" s="19">
        <f>HLOOKUP($B$7,$F$8:$Q$74,S11,FALSE)</f>
        <v>529.87962961929338</v>
      </c>
      <c r="E11" s="20" t="s">
        <v>28</v>
      </c>
      <c r="F11" s="7">
        <v>20.632000000000001</v>
      </c>
      <c r="G11" s="7">
        <v>54.286830966096069</v>
      </c>
      <c r="H11" s="7">
        <v>223.57983205108746</v>
      </c>
      <c r="I11" s="7">
        <v>529.87962961929338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828.37829263647689</v>
      </c>
      <c r="S11" s="4">
        <v>4</v>
      </c>
    </row>
    <row r="12" spans="1:19">
      <c r="A12" s="18" t="s">
        <v>109</v>
      </c>
      <c r="B12" s="75">
        <f>HLOOKUP($B$7,$F$8:$Q$74,S12,FALSE)</f>
        <v>5.474638426464018E-2</v>
      </c>
      <c r="E12" s="20" t="s">
        <v>28</v>
      </c>
      <c r="F12" s="81">
        <v>1.73E-3</v>
      </c>
      <c r="G12" s="81">
        <v>5.3094172334399925E-3</v>
      </c>
      <c r="H12" s="81">
        <v>2.518751549231997E-2</v>
      </c>
      <c r="I12" s="81">
        <v>5.474638426464018E-2</v>
      </c>
      <c r="J12" s="81"/>
      <c r="K12" s="81"/>
      <c r="L12" s="81"/>
      <c r="M12" s="81"/>
      <c r="N12" s="81"/>
      <c r="O12" s="81"/>
      <c r="P12" s="81"/>
      <c r="Q12" s="81"/>
      <c r="R12" s="80">
        <f t="shared" ref="R12:R13" si="0">SUM(F12:Q12)</f>
        <v>8.6973316990400146E-2</v>
      </c>
      <c r="S12" s="4">
        <v>5</v>
      </c>
    </row>
    <row r="13" spans="1:19">
      <c r="A13" s="18" t="s">
        <v>23</v>
      </c>
      <c r="B13" s="19">
        <f>HLOOKUP($B$7,$F$8:$Q$74,S13,FALSE)</f>
        <v>-449.06582417462158</v>
      </c>
      <c r="E13" s="20" t="s">
        <v>28</v>
      </c>
      <c r="F13" s="7">
        <v>-71.23</v>
      </c>
      <c r="G13" s="7">
        <v>-50</v>
      </c>
      <c r="H13" s="7">
        <v>-98.264129365872037</v>
      </c>
      <c r="I13" s="7">
        <v>-449.06582417462158</v>
      </c>
      <c r="J13" s="7"/>
      <c r="K13" s="7"/>
      <c r="L13" s="7"/>
      <c r="M13" s="7"/>
      <c r="N13" s="7"/>
      <c r="O13" s="7"/>
      <c r="P13" s="7"/>
      <c r="Q13" s="7"/>
      <c r="R13" s="24">
        <f t="shared" si="0"/>
        <v>-668.55995354049355</v>
      </c>
      <c r="S13" s="4">
        <v>6</v>
      </c>
    </row>
    <row r="14" spans="1:19">
      <c r="A14" s="61" t="s">
        <v>88</v>
      </c>
      <c r="B14" s="59"/>
      <c r="E14" s="5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  <c r="S14" s="4">
        <v>7</v>
      </c>
    </row>
    <row r="15" spans="1:19">
      <c r="A15" s="1" t="s">
        <v>87</v>
      </c>
      <c r="B15" s="23">
        <f t="shared" ref="B15:B22" si="1">HLOOKUP($B$7,$F$8:$Q$74,S15,FALSE)</f>
        <v>8614</v>
      </c>
      <c r="E15" s="5"/>
      <c r="F15" s="24">
        <f>$F$3</f>
        <v>8614</v>
      </c>
      <c r="G15" s="24">
        <f t="shared" ref="G15:Q15" si="2">$F$3</f>
        <v>8614</v>
      </c>
      <c r="H15" s="24">
        <f t="shared" si="2"/>
        <v>8614</v>
      </c>
      <c r="I15" s="24">
        <f t="shared" si="2"/>
        <v>8614</v>
      </c>
      <c r="J15" s="24">
        <f t="shared" si="2"/>
        <v>8614</v>
      </c>
      <c r="K15" s="24">
        <f t="shared" si="2"/>
        <v>8614</v>
      </c>
      <c r="L15" s="24">
        <f t="shared" si="2"/>
        <v>8614</v>
      </c>
      <c r="M15" s="24">
        <f t="shared" si="2"/>
        <v>8614</v>
      </c>
      <c r="N15" s="24">
        <f t="shared" si="2"/>
        <v>8614</v>
      </c>
      <c r="O15" s="24">
        <f t="shared" si="2"/>
        <v>8614</v>
      </c>
      <c r="P15" s="24">
        <f t="shared" si="2"/>
        <v>8614</v>
      </c>
      <c r="Q15" s="24">
        <f t="shared" si="2"/>
        <v>8614</v>
      </c>
      <c r="R15" s="25"/>
      <c r="S15" s="4">
        <v>8</v>
      </c>
    </row>
    <row r="16" spans="1:19">
      <c r="A16" s="1" t="s">
        <v>89</v>
      </c>
      <c r="B16" s="23">
        <f t="shared" si="1"/>
        <v>2871.333333333333</v>
      </c>
      <c r="E16" s="5"/>
      <c r="F16" s="24">
        <f>F15*(F9/12)</f>
        <v>717.83333333333326</v>
      </c>
      <c r="G16" s="24">
        <f t="shared" ref="G16:Q16" si="3">G15*(G9/12)</f>
        <v>1435.6666666666665</v>
      </c>
      <c r="H16" s="24">
        <f t="shared" si="3"/>
        <v>2153.5</v>
      </c>
      <c r="I16" s="24">
        <f t="shared" si="3"/>
        <v>2871.333333333333</v>
      </c>
      <c r="J16" s="24">
        <f t="shared" si="3"/>
        <v>3589.166666666667</v>
      </c>
      <c r="K16" s="24">
        <f t="shared" si="3"/>
        <v>4307</v>
      </c>
      <c r="L16" s="24">
        <f t="shared" si="3"/>
        <v>5024.8333333333339</v>
      </c>
      <c r="M16" s="24">
        <f t="shared" si="3"/>
        <v>5742.6666666666661</v>
      </c>
      <c r="N16" s="24">
        <f t="shared" si="3"/>
        <v>6460.5</v>
      </c>
      <c r="O16" s="24">
        <f t="shared" si="3"/>
        <v>7178.3333333333339</v>
      </c>
      <c r="P16" s="24">
        <f t="shared" si="3"/>
        <v>7896.1666666666661</v>
      </c>
      <c r="Q16" s="24">
        <f t="shared" si="3"/>
        <v>8614</v>
      </c>
      <c r="R16" s="25"/>
      <c r="S16" s="4">
        <v>9</v>
      </c>
    </row>
    <row r="17" spans="1:19">
      <c r="A17" s="86" t="s">
        <v>82</v>
      </c>
      <c r="B17" s="19">
        <f t="shared" si="1"/>
        <v>828.37829263647689</v>
      </c>
      <c r="E17" s="5"/>
      <c r="F17" s="21">
        <f>F11</f>
        <v>20.632000000000001</v>
      </c>
      <c r="G17" s="21">
        <f>F17+G11</f>
        <v>74.918830966096067</v>
      </c>
      <c r="H17" s="21">
        <f t="shared" ref="H17:Q17" si="4">G17+H11</f>
        <v>298.4986630171835</v>
      </c>
      <c r="I17" s="21">
        <f t="shared" si="4"/>
        <v>828.37829263647689</v>
      </c>
      <c r="J17" s="21">
        <f t="shared" si="4"/>
        <v>828.37829263647689</v>
      </c>
      <c r="K17" s="21">
        <f t="shared" si="4"/>
        <v>828.37829263647689</v>
      </c>
      <c r="L17" s="21">
        <f t="shared" si="4"/>
        <v>828.37829263647689</v>
      </c>
      <c r="M17" s="21">
        <f t="shared" si="4"/>
        <v>828.37829263647689</v>
      </c>
      <c r="N17" s="21">
        <f t="shared" si="4"/>
        <v>828.37829263647689</v>
      </c>
      <c r="O17" s="21">
        <f t="shared" si="4"/>
        <v>828.37829263647689</v>
      </c>
      <c r="P17" s="21">
        <f t="shared" si="4"/>
        <v>828.37829263647689</v>
      </c>
      <c r="Q17" s="21">
        <f t="shared" si="4"/>
        <v>828.37829263647689</v>
      </c>
      <c r="R17" s="65"/>
      <c r="S17" s="4">
        <v>10</v>
      </c>
    </row>
    <row r="18" spans="1:19">
      <c r="A18" s="86" t="s">
        <v>14</v>
      </c>
      <c r="B18" s="19">
        <f t="shared" si="1"/>
        <v>0</v>
      </c>
      <c r="E18" s="20" t="s">
        <v>30</v>
      </c>
      <c r="F18" s="7">
        <v>0</v>
      </c>
      <c r="G18" s="7">
        <v>0</v>
      </c>
      <c r="H18" s="7">
        <v>0</v>
      </c>
      <c r="I18" s="7">
        <v>0</v>
      </c>
      <c r="J18" s="7"/>
      <c r="K18" s="7"/>
      <c r="L18" s="7"/>
      <c r="M18" s="7"/>
      <c r="N18" s="7"/>
      <c r="O18" s="7"/>
      <c r="P18" s="7"/>
      <c r="Q18" s="7"/>
      <c r="R18" s="65"/>
      <c r="S18" s="4">
        <v>11</v>
      </c>
    </row>
    <row r="19" spans="1:19">
      <c r="A19" s="87" t="s">
        <v>47</v>
      </c>
      <c r="B19" s="51">
        <f t="shared" si="1"/>
        <v>828.37829263647689</v>
      </c>
      <c r="C19" s="92"/>
      <c r="D19" s="92"/>
      <c r="E19" s="92"/>
      <c r="F19" s="26">
        <f>F17+F18</f>
        <v>20.632000000000001</v>
      </c>
      <c r="G19" s="26">
        <f t="shared" ref="G19:Q19" si="5">G17+G18</f>
        <v>74.918830966096067</v>
      </c>
      <c r="H19" s="26">
        <f t="shared" si="5"/>
        <v>298.4986630171835</v>
      </c>
      <c r="I19" s="26">
        <f t="shared" si="5"/>
        <v>828.37829263647689</v>
      </c>
      <c r="J19" s="26">
        <f t="shared" si="5"/>
        <v>828.37829263647689</v>
      </c>
      <c r="K19" s="26">
        <f t="shared" si="5"/>
        <v>828.37829263647689</v>
      </c>
      <c r="L19" s="26">
        <f t="shared" si="5"/>
        <v>828.37829263647689</v>
      </c>
      <c r="M19" s="26">
        <f t="shared" si="5"/>
        <v>828.37829263647689</v>
      </c>
      <c r="N19" s="26">
        <f t="shared" si="5"/>
        <v>828.37829263647689</v>
      </c>
      <c r="O19" s="26">
        <f t="shared" si="5"/>
        <v>828.37829263647689</v>
      </c>
      <c r="P19" s="26">
        <f t="shared" si="5"/>
        <v>828.37829263647689</v>
      </c>
      <c r="Q19" s="26">
        <f t="shared" si="5"/>
        <v>828.37829263647689</v>
      </c>
      <c r="R19" s="25"/>
      <c r="S19" s="4">
        <v>12</v>
      </c>
    </row>
    <row r="20" spans="1:19">
      <c r="A20" s="86" t="s">
        <v>24</v>
      </c>
      <c r="B20" s="88">
        <f t="shared" si="1"/>
        <v>9.6166507155383898E-2</v>
      </c>
      <c r="F20" s="88">
        <f>F17/F15</f>
        <v>2.395170652426283E-3</v>
      </c>
      <c r="G20" s="88">
        <f t="shared" ref="G20:Q20" si="6">G17/G15</f>
        <v>8.6973335228808998E-3</v>
      </c>
      <c r="H20" s="88">
        <f t="shared" si="6"/>
        <v>3.4652735432689055E-2</v>
      </c>
      <c r="I20" s="88">
        <f t="shared" si="6"/>
        <v>9.6166507155383898E-2</v>
      </c>
      <c r="J20" s="88">
        <f t="shared" si="6"/>
        <v>9.6166507155383898E-2</v>
      </c>
      <c r="K20" s="88">
        <f t="shared" si="6"/>
        <v>9.6166507155383898E-2</v>
      </c>
      <c r="L20" s="88">
        <f t="shared" si="6"/>
        <v>9.6166507155383898E-2</v>
      </c>
      <c r="M20" s="88">
        <f t="shared" si="6"/>
        <v>9.6166507155383898E-2</v>
      </c>
      <c r="N20" s="88">
        <f t="shared" si="6"/>
        <v>9.6166507155383898E-2</v>
      </c>
      <c r="O20" s="88">
        <f t="shared" si="6"/>
        <v>9.6166507155383898E-2</v>
      </c>
      <c r="P20" s="88">
        <f t="shared" si="6"/>
        <v>9.6166507155383898E-2</v>
      </c>
      <c r="Q20" s="88">
        <f t="shared" si="6"/>
        <v>9.6166507155383898E-2</v>
      </c>
      <c r="R20" s="97"/>
      <c r="S20" s="4">
        <v>13</v>
      </c>
    </row>
    <row r="21" spans="1:19">
      <c r="A21" s="86" t="s">
        <v>48</v>
      </c>
      <c r="B21" s="88">
        <f t="shared" si="1"/>
        <v>9.6166507155383898E-2</v>
      </c>
      <c r="F21" s="88">
        <f>F19/F15</f>
        <v>2.395170652426283E-3</v>
      </c>
      <c r="G21" s="88">
        <f t="shared" ref="G21:Q21" si="7">G19/G15</f>
        <v>8.6973335228808998E-3</v>
      </c>
      <c r="H21" s="88">
        <f t="shared" si="7"/>
        <v>3.4652735432689055E-2</v>
      </c>
      <c r="I21" s="88">
        <f t="shared" si="7"/>
        <v>9.6166507155383898E-2</v>
      </c>
      <c r="J21" s="88">
        <f t="shared" si="7"/>
        <v>9.6166507155383898E-2</v>
      </c>
      <c r="K21" s="88">
        <f t="shared" si="7"/>
        <v>9.6166507155383898E-2</v>
      </c>
      <c r="L21" s="88">
        <f t="shared" si="7"/>
        <v>9.6166507155383898E-2</v>
      </c>
      <c r="M21" s="88">
        <f t="shared" si="7"/>
        <v>9.6166507155383898E-2</v>
      </c>
      <c r="N21" s="88">
        <f t="shared" si="7"/>
        <v>9.6166507155383898E-2</v>
      </c>
      <c r="O21" s="88">
        <f t="shared" si="7"/>
        <v>9.6166507155383898E-2</v>
      </c>
      <c r="P21" s="88">
        <f t="shared" si="7"/>
        <v>9.6166507155383898E-2</v>
      </c>
      <c r="Q21" s="88">
        <f t="shared" si="7"/>
        <v>9.6166507155383898E-2</v>
      </c>
      <c r="R21" s="97"/>
      <c r="S21" s="4">
        <v>14</v>
      </c>
    </row>
    <row r="22" spans="1:19">
      <c r="A22" s="86" t="s">
        <v>25</v>
      </c>
      <c r="B22" s="88">
        <f t="shared" si="1"/>
        <v>0.28849952146615171</v>
      </c>
      <c r="F22" s="88">
        <f>F17/F16</f>
        <v>2.8742047829115398E-2</v>
      </c>
      <c r="G22" s="88">
        <f t="shared" ref="G22:Q22" si="8">G17/G16</f>
        <v>5.2184001137285399E-2</v>
      </c>
      <c r="H22" s="88">
        <f t="shared" si="8"/>
        <v>0.13861094173075622</v>
      </c>
      <c r="I22" s="88">
        <f t="shared" si="8"/>
        <v>0.28849952146615171</v>
      </c>
      <c r="J22" s="88">
        <f t="shared" si="8"/>
        <v>0.23079961717292133</v>
      </c>
      <c r="K22" s="88">
        <f t="shared" si="8"/>
        <v>0.1923330143107678</v>
      </c>
      <c r="L22" s="88">
        <f t="shared" si="8"/>
        <v>0.16485686940922953</v>
      </c>
      <c r="M22" s="88">
        <f t="shared" si="8"/>
        <v>0.14424976073307585</v>
      </c>
      <c r="N22" s="88">
        <f t="shared" si="8"/>
        <v>0.12822200954051186</v>
      </c>
      <c r="O22" s="88">
        <f t="shared" si="8"/>
        <v>0.11539980858646066</v>
      </c>
      <c r="P22" s="88">
        <f t="shared" si="8"/>
        <v>0.10490891689678244</v>
      </c>
      <c r="Q22" s="88">
        <f t="shared" si="8"/>
        <v>9.6166507155383898E-2</v>
      </c>
      <c r="R22" s="97"/>
      <c r="S22" s="4">
        <v>15</v>
      </c>
    </row>
    <row r="23" spans="1:19">
      <c r="A23" s="61" t="s">
        <v>90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5"/>
      <c r="S23" s="4">
        <v>16</v>
      </c>
    </row>
    <row r="24" spans="1:19">
      <c r="A24" s="86" t="s">
        <v>83</v>
      </c>
      <c r="B24" s="75">
        <f>HLOOKUP($B$7,$F$8:$Q$74,S24,FALSE)</f>
        <v>8.6973316990400146E-2</v>
      </c>
      <c r="E24" s="76"/>
      <c r="F24" s="75">
        <f>F12</f>
        <v>1.73E-3</v>
      </c>
      <c r="G24" s="75">
        <f t="shared" ref="G24:Q24" si="9">F24+G12</f>
        <v>7.0394172334399922E-3</v>
      </c>
      <c r="H24" s="75">
        <f t="shared" si="9"/>
        <v>3.2226932725759966E-2</v>
      </c>
      <c r="I24" s="75">
        <f t="shared" si="9"/>
        <v>8.6973316990400146E-2</v>
      </c>
      <c r="J24" s="75">
        <f t="shared" si="9"/>
        <v>8.6973316990400146E-2</v>
      </c>
      <c r="K24" s="75">
        <f t="shared" si="9"/>
        <v>8.6973316990400146E-2</v>
      </c>
      <c r="L24" s="75">
        <f t="shared" si="9"/>
        <v>8.6973316990400146E-2</v>
      </c>
      <c r="M24" s="75">
        <f t="shared" si="9"/>
        <v>8.6973316990400146E-2</v>
      </c>
      <c r="N24" s="75">
        <f t="shared" si="9"/>
        <v>8.6973316990400146E-2</v>
      </c>
      <c r="O24" s="75">
        <f t="shared" si="9"/>
        <v>8.6973316990400146E-2</v>
      </c>
      <c r="P24" s="75">
        <f t="shared" si="9"/>
        <v>8.6973316990400146E-2</v>
      </c>
      <c r="Q24" s="75">
        <f t="shared" si="9"/>
        <v>8.6973316990400146E-2</v>
      </c>
      <c r="R24" s="25"/>
      <c r="S24" s="4">
        <v>17</v>
      </c>
    </row>
    <row r="25" spans="1:19">
      <c r="A25" s="86" t="s">
        <v>15</v>
      </c>
      <c r="B25" s="75">
        <f>HLOOKUP($B$7,$F$8:$Q$74,S25,FALSE)</f>
        <v>0</v>
      </c>
      <c r="E25" s="20" t="s">
        <v>30</v>
      </c>
      <c r="F25" s="81">
        <v>0</v>
      </c>
      <c r="G25" s="81">
        <v>0</v>
      </c>
      <c r="H25" s="81">
        <v>0</v>
      </c>
      <c r="I25" s="81">
        <v>0</v>
      </c>
      <c r="J25" s="81"/>
      <c r="K25" s="81"/>
      <c r="L25" s="81"/>
      <c r="M25" s="81"/>
      <c r="N25" s="81"/>
      <c r="O25" s="81"/>
      <c r="P25" s="81"/>
      <c r="Q25" s="81"/>
      <c r="R25" s="25"/>
      <c r="S25" s="4">
        <v>18</v>
      </c>
    </row>
    <row r="26" spans="1:19">
      <c r="A26" s="89" t="s">
        <v>26</v>
      </c>
      <c r="B26" s="83">
        <f>HLOOKUP($B$7,$F$8:$Q$74,S26,FALSE)</f>
        <v>8.6973316990400146E-2</v>
      </c>
      <c r="C26" s="92"/>
      <c r="D26" s="92"/>
      <c r="E26" s="99"/>
      <c r="F26" s="83">
        <f>F24+F25</f>
        <v>1.73E-3</v>
      </c>
      <c r="G26" s="83">
        <f>G24+G25</f>
        <v>7.0394172334399922E-3</v>
      </c>
      <c r="H26" s="83">
        <f t="shared" ref="H26:Q26" si="10">H24+H25</f>
        <v>3.2226932725759966E-2</v>
      </c>
      <c r="I26" s="83">
        <f>I24+I25</f>
        <v>8.6973316990400146E-2</v>
      </c>
      <c r="J26" s="83">
        <f t="shared" si="10"/>
        <v>8.6973316990400146E-2</v>
      </c>
      <c r="K26" s="83">
        <f t="shared" si="10"/>
        <v>8.6973316990400146E-2</v>
      </c>
      <c r="L26" s="83">
        <f t="shared" si="10"/>
        <v>8.6973316990400146E-2</v>
      </c>
      <c r="M26" s="83">
        <f t="shared" si="10"/>
        <v>8.6973316990400146E-2</v>
      </c>
      <c r="N26" s="83">
        <f t="shared" si="10"/>
        <v>8.6973316990400146E-2</v>
      </c>
      <c r="O26" s="83">
        <f t="shared" si="10"/>
        <v>8.6973316990400146E-2</v>
      </c>
      <c r="P26" s="83">
        <f t="shared" si="10"/>
        <v>8.6973316990400146E-2</v>
      </c>
      <c r="Q26" s="83">
        <f t="shared" si="10"/>
        <v>8.6973316990400146E-2</v>
      </c>
      <c r="R26" s="25"/>
      <c r="S26" s="4">
        <v>19</v>
      </c>
    </row>
    <row r="27" spans="1:19">
      <c r="A27" s="61" t="s">
        <v>91</v>
      </c>
      <c r="B27" s="5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  <c r="S27" s="4">
        <v>20</v>
      </c>
    </row>
    <row r="28" spans="1:19">
      <c r="A28" s="86" t="s">
        <v>79</v>
      </c>
      <c r="B28" s="19">
        <f>HLOOKUP($B$7,$F$8:$Q$74,S28,FALSE)</f>
        <v>-668.55995354049355</v>
      </c>
      <c r="F28" s="29">
        <f>F13</f>
        <v>-71.23</v>
      </c>
      <c r="G28" s="29">
        <f t="shared" ref="G28:Q28" si="11">F28+G13</f>
        <v>-121.23</v>
      </c>
      <c r="H28" s="29">
        <f t="shared" si="11"/>
        <v>-219.49412936587203</v>
      </c>
      <c r="I28" s="29">
        <f t="shared" si="11"/>
        <v>-668.55995354049355</v>
      </c>
      <c r="J28" s="29">
        <f t="shared" si="11"/>
        <v>-668.55995354049355</v>
      </c>
      <c r="K28" s="29">
        <f t="shared" si="11"/>
        <v>-668.55995354049355</v>
      </c>
      <c r="L28" s="29">
        <f t="shared" si="11"/>
        <v>-668.55995354049355</v>
      </c>
      <c r="M28" s="29">
        <f t="shared" si="11"/>
        <v>-668.55995354049355</v>
      </c>
      <c r="N28" s="29">
        <f t="shared" si="11"/>
        <v>-668.55995354049355</v>
      </c>
      <c r="O28" s="29">
        <f t="shared" si="11"/>
        <v>-668.55995354049355</v>
      </c>
      <c r="P28" s="29">
        <f t="shared" si="11"/>
        <v>-668.55995354049355</v>
      </c>
      <c r="Q28" s="29">
        <f t="shared" si="11"/>
        <v>-668.55995354049355</v>
      </c>
      <c r="R28" s="64"/>
      <c r="S28" s="4">
        <v>21</v>
      </c>
    </row>
    <row r="29" spans="1:19">
      <c r="A29" s="86" t="s">
        <v>11</v>
      </c>
      <c r="B29" s="19">
        <f>HLOOKUP($B$7,$F$8:$Q$74,S29,FALSE)</f>
        <v>0</v>
      </c>
      <c r="E29" s="20" t="s">
        <v>30</v>
      </c>
      <c r="F29" s="7">
        <v>0</v>
      </c>
      <c r="G29" s="7">
        <v>0</v>
      </c>
      <c r="H29" s="7">
        <v>0</v>
      </c>
      <c r="I29" s="7">
        <v>0</v>
      </c>
      <c r="J29" s="7"/>
      <c r="K29" s="7"/>
      <c r="L29" s="7"/>
      <c r="M29" s="7"/>
      <c r="N29" s="7"/>
      <c r="O29" s="7"/>
      <c r="P29" s="7"/>
      <c r="Q29" s="7"/>
      <c r="R29" s="64"/>
      <c r="S29" s="4">
        <v>22</v>
      </c>
    </row>
    <row r="30" spans="1:19">
      <c r="A30" s="89" t="s">
        <v>45</v>
      </c>
      <c r="B30" s="51">
        <f>HLOOKUP($B$7,$F$8:$Q$74,S30,FALSE)</f>
        <v>-668.55995354049355</v>
      </c>
      <c r="C30" s="92"/>
      <c r="D30" s="92"/>
      <c r="E30" s="92"/>
      <c r="F30" s="95">
        <f>F28+F29</f>
        <v>-71.23</v>
      </c>
      <c r="G30" s="95">
        <f t="shared" ref="G30:P30" si="12">G28+G29</f>
        <v>-121.23</v>
      </c>
      <c r="H30" s="95">
        <f t="shared" si="12"/>
        <v>-219.49412936587203</v>
      </c>
      <c r="I30" s="95">
        <f t="shared" si="12"/>
        <v>-668.55995354049355</v>
      </c>
      <c r="J30" s="95">
        <f t="shared" si="12"/>
        <v>-668.55995354049355</v>
      </c>
      <c r="K30" s="95">
        <f t="shared" si="12"/>
        <v>-668.55995354049355</v>
      </c>
      <c r="L30" s="95">
        <f t="shared" si="12"/>
        <v>-668.55995354049355</v>
      </c>
      <c r="M30" s="95">
        <f t="shared" si="12"/>
        <v>-668.55995354049355</v>
      </c>
      <c r="N30" s="95">
        <f t="shared" si="12"/>
        <v>-668.55995354049355</v>
      </c>
      <c r="O30" s="95">
        <f t="shared" si="12"/>
        <v>-668.55995354049355</v>
      </c>
      <c r="P30" s="95">
        <f t="shared" si="12"/>
        <v>-668.55995354049355</v>
      </c>
      <c r="Q30" s="95">
        <f>Q28+Q29</f>
        <v>-668.55995354049355</v>
      </c>
      <c r="R30" s="64"/>
      <c r="S30" s="4">
        <v>23</v>
      </c>
    </row>
    <row r="31" spans="1:19">
      <c r="A31" s="61" t="s">
        <v>59</v>
      </c>
      <c r="B31" s="5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  <c r="S31" s="4">
        <v>24</v>
      </c>
    </row>
    <row r="32" spans="1:19">
      <c r="A32" s="90" t="s">
        <v>50</v>
      </c>
      <c r="B32" s="49">
        <f t="shared" ref="B32:B40" si="13">HLOOKUP($B$7,$F$8:$Q$74,S32,FALSE)</f>
        <v>14398.889999999998</v>
      </c>
      <c r="E32" s="20" t="s">
        <v>28</v>
      </c>
      <c r="F32" s="9">
        <v>2434.15</v>
      </c>
      <c r="G32" s="9">
        <v>24656.420000000002</v>
      </c>
      <c r="H32" s="9">
        <v>9507.73</v>
      </c>
      <c r="I32" s="9">
        <v>14398.889999999998</v>
      </c>
      <c r="J32" s="9"/>
      <c r="K32" s="9"/>
      <c r="L32" s="9"/>
      <c r="M32" s="9"/>
      <c r="N32" s="9"/>
      <c r="O32" s="9"/>
      <c r="P32" s="9"/>
      <c r="Q32" s="9"/>
      <c r="R32" s="85">
        <f>SUM(F32:Q32)</f>
        <v>50997.19</v>
      </c>
      <c r="S32" s="4">
        <v>25</v>
      </c>
    </row>
    <row r="33" spans="1:19">
      <c r="A33" s="90" t="s">
        <v>51</v>
      </c>
      <c r="B33" s="49">
        <f t="shared" si="13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ref="R33:R38" si="14">SUM(F33:Q33)</f>
        <v>0</v>
      </c>
      <c r="S33" s="4">
        <v>26</v>
      </c>
    </row>
    <row r="34" spans="1:19">
      <c r="A34" s="90" t="s">
        <v>52</v>
      </c>
      <c r="B34" s="49">
        <f t="shared" si="13"/>
        <v>21060.309999999998</v>
      </c>
      <c r="E34" s="20" t="s">
        <v>28</v>
      </c>
      <c r="F34" s="9">
        <v>12</v>
      </c>
      <c r="G34" s="9">
        <v>0</v>
      </c>
      <c r="H34" s="9">
        <v>25586.199999999997</v>
      </c>
      <c r="I34" s="9">
        <v>21060.309999999998</v>
      </c>
      <c r="J34" s="9"/>
      <c r="K34" s="9"/>
      <c r="L34" s="9"/>
      <c r="M34" s="9"/>
      <c r="N34" s="9"/>
      <c r="O34" s="9"/>
      <c r="P34" s="9"/>
      <c r="Q34" s="9"/>
      <c r="R34" s="85">
        <f t="shared" si="14"/>
        <v>46658.509999999995</v>
      </c>
      <c r="S34" s="4">
        <v>27</v>
      </c>
    </row>
    <row r="35" spans="1:19">
      <c r="A35" s="90" t="s">
        <v>53</v>
      </c>
      <c r="B35" s="49">
        <f t="shared" si="13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4"/>
        <v>0</v>
      </c>
      <c r="S35" s="4">
        <v>28</v>
      </c>
    </row>
    <row r="36" spans="1:19">
      <c r="A36" s="90" t="s">
        <v>54</v>
      </c>
      <c r="B36" s="49">
        <f t="shared" si="13"/>
        <v>15369</v>
      </c>
      <c r="E36" s="20" t="s">
        <v>28</v>
      </c>
      <c r="F36" s="9">
        <v>0</v>
      </c>
      <c r="G36" s="9">
        <v>0</v>
      </c>
      <c r="H36" s="9">
        <v>5401</v>
      </c>
      <c r="I36" s="9">
        <v>15369</v>
      </c>
      <c r="J36" s="9"/>
      <c r="K36" s="9"/>
      <c r="L36" s="9"/>
      <c r="M36" s="9"/>
      <c r="N36" s="9"/>
      <c r="O36" s="9"/>
      <c r="P36" s="9"/>
      <c r="Q36" s="9"/>
      <c r="R36" s="85">
        <f t="shared" si="14"/>
        <v>20770</v>
      </c>
      <c r="S36" s="4">
        <v>29</v>
      </c>
    </row>
    <row r="37" spans="1:19">
      <c r="A37" s="90" t="s">
        <v>55</v>
      </c>
      <c r="B37" s="49">
        <f t="shared" si="13"/>
        <v>73424.399999999994</v>
      </c>
      <c r="E37" s="20" t="s">
        <v>28</v>
      </c>
      <c r="F37" s="9">
        <v>0</v>
      </c>
      <c r="G37" s="9">
        <v>0</v>
      </c>
      <c r="H37" s="9">
        <v>33382.720000000001</v>
      </c>
      <c r="I37" s="9">
        <v>73424.399999999994</v>
      </c>
      <c r="J37" s="9"/>
      <c r="K37" s="9"/>
      <c r="L37" s="9"/>
      <c r="M37" s="9"/>
      <c r="N37" s="9"/>
      <c r="O37" s="9"/>
      <c r="P37" s="9"/>
      <c r="Q37" s="9"/>
      <c r="R37" s="85">
        <f t="shared" si="14"/>
        <v>106807.12</v>
      </c>
      <c r="S37" s="4">
        <v>30</v>
      </c>
    </row>
    <row r="38" spans="1:19">
      <c r="A38" s="90" t="s">
        <v>56</v>
      </c>
      <c r="B38" s="49">
        <f t="shared" si="13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 t="shared" si="14"/>
        <v>0</v>
      </c>
      <c r="S38" s="4">
        <v>31</v>
      </c>
    </row>
    <row r="39" spans="1:19">
      <c r="A39" s="90" t="s">
        <v>95</v>
      </c>
      <c r="B39" s="49">
        <f t="shared" si="13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/>
      <c r="S39" s="4">
        <v>32</v>
      </c>
    </row>
    <row r="40" spans="1:19">
      <c r="A40" s="89" t="s">
        <v>60</v>
      </c>
      <c r="B40" s="35">
        <f t="shared" si="13"/>
        <v>124252.59999999999</v>
      </c>
      <c r="C40" s="92"/>
      <c r="D40" s="92"/>
      <c r="E40" s="92"/>
      <c r="F40" s="96">
        <f>SUM(F32:F39)</f>
        <v>2446.15</v>
      </c>
      <c r="G40" s="96">
        <f t="shared" ref="G40:Q40" si="15">SUM(G32:G39)</f>
        <v>24656.420000000002</v>
      </c>
      <c r="H40" s="96">
        <f t="shared" si="15"/>
        <v>73877.649999999994</v>
      </c>
      <c r="I40" s="96">
        <f t="shared" si="15"/>
        <v>124252.59999999999</v>
      </c>
      <c r="J40" s="96">
        <f t="shared" si="15"/>
        <v>0</v>
      </c>
      <c r="K40" s="96">
        <f t="shared" si="15"/>
        <v>0</v>
      </c>
      <c r="L40" s="96">
        <f t="shared" si="15"/>
        <v>0</v>
      </c>
      <c r="M40" s="96">
        <f t="shared" si="15"/>
        <v>0</v>
      </c>
      <c r="N40" s="96">
        <f t="shared" si="15"/>
        <v>0</v>
      </c>
      <c r="O40" s="96">
        <f t="shared" si="15"/>
        <v>0</v>
      </c>
      <c r="P40" s="96">
        <f t="shared" si="15"/>
        <v>0</v>
      </c>
      <c r="Q40" s="96">
        <f t="shared" si="15"/>
        <v>0</v>
      </c>
      <c r="R40" s="66">
        <f>SUM(F40:Q40)</f>
        <v>225232.82</v>
      </c>
      <c r="S40" s="4">
        <v>33</v>
      </c>
    </row>
    <row r="41" spans="1:19">
      <c r="A41" s="61" t="s">
        <v>96</v>
      </c>
      <c r="B41" s="5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5"/>
      <c r="S41" s="4">
        <v>34</v>
      </c>
    </row>
    <row r="42" spans="1:19">
      <c r="A42" s="90" t="s">
        <v>100</v>
      </c>
      <c r="B42" s="98">
        <f>HLOOKUP($B$7,$F$8:$Q$74,S42,FALSE)</f>
        <v>0</v>
      </c>
      <c r="E42" s="20" t="s">
        <v>30</v>
      </c>
      <c r="F42" s="9">
        <v>0</v>
      </c>
      <c r="G42" s="9">
        <v>0</v>
      </c>
      <c r="H42" s="9">
        <v>0</v>
      </c>
      <c r="I42" s="9">
        <v>0</v>
      </c>
      <c r="J42" s="9"/>
      <c r="K42" s="9"/>
      <c r="L42" s="9"/>
      <c r="M42" s="9"/>
      <c r="N42" s="9"/>
      <c r="O42" s="9"/>
      <c r="P42" s="9"/>
      <c r="Q42" s="9"/>
      <c r="R42" s="25"/>
      <c r="S42" s="4">
        <v>35</v>
      </c>
    </row>
    <row r="43" spans="1:19">
      <c r="A43" s="90" t="s">
        <v>101</v>
      </c>
      <c r="B43" s="98">
        <f t="shared" ref="B43:B49" si="16">HLOOKUP($B$7,$F$8:$Q$74,S43,FALSE)</f>
        <v>0</v>
      </c>
      <c r="E43" s="20" t="s">
        <v>30</v>
      </c>
      <c r="F43" s="9">
        <v>0</v>
      </c>
      <c r="G43" s="9">
        <v>0</v>
      </c>
      <c r="H43" s="9">
        <v>0</v>
      </c>
      <c r="I43" s="9">
        <v>0</v>
      </c>
      <c r="J43" s="9"/>
      <c r="K43" s="9"/>
      <c r="L43" s="9"/>
      <c r="M43" s="9"/>
      <c r="N43" s="9"/>
      <c r="O43" s="9"/>
      <c r="P43" s="9"/>
      <c r="Q43" s="9"/>
      <c r="R43" s="25"/>
      <c r="S43" s="4">
        <v>36</v>
      </c>
    </row>
    <row r="44" spans="1:19">
      <c r="A44" s="90" t="s">
        <v>102</v>
      </c>
      <c r="B44" s="98">
        <f t="shared" si="16"/>
        <v>0</v>
      </c>
      <c r="E44" s="20" t="s">
        <v>30</v>
      </c>
      <c r="F44" s="9">
        <v>0</v>
      </c>
      <c r="G44" s="9">
        <v>0</v>
      </c>
      <c r="H44" s="9">
        <v>0</v>
      </c>
      <c r="I44" s="9">
        <v>0</v>
      </c>
      <c r="J44" s="9"/>
      <c r="K44" s="9"/>
      <c r="L44" s="9"/>
      <c r="M44" s="9"/>
      <c r="N44" s="9"/>
      <c r="O44" s="9"/>
      <c r="P44" s="9"/>
      <c r="Q44" s="9"/>
      <c r="R44" s="25"/>
      <c r="S44" s="4">
        <v>37</v>
      </c>
    </row>
    <row r="45" spans="1:19">
      <c r="A45" s="90" t="s">
        <v>103</v>
      </c>
      <c r="B45" s="98">
        <f t="shared" si="16"/>
        <v>0</v>
      </c>
      <c r="E45" s="20" t="s">
        <v>30</v>
      </c>
      <c r="F45" s="9">
        <v>0</v>
      </c>
      <c r="G45" s="9">
        <v>0</v>
      </c>
      <c r="H45" s="9">
        <v>0</v>
      </c>
      <c r="I45" s="9">
        <v>0</v>
      </c>
      <c r="J45" s="9"/>
      <c r="K45" s="9"/>
      <c r="L45" s="9"/>
      <c r="M45" s="9"/>
      <c r="N45" s="9"/>
      <c r="O45" s="9"/>
      <c r="P45" s="9"/>
      <c r="Q45" s="9"/>
      <c r="R45" s="25"/>
      <c r="S45" s="4">
        <v>38</v>
      </c>
    </row>
    <row r="46" spans="1:19">
      <c r="A46" s="90" t="s">
        <v>104</v>
      </c>
      <c r="B46" s="98">
        <f t="shared" si="16"/>
        <v>0</v>
      </c>
      <c r="E46" s="20" t="s">
        <v>30</v>
      </c>
      <c r="F46" s="9">
        <v>0</v>
      </c>
      <c r="G46" s="9">
        <v>0</v>
      </c>
      <c r="H46" s="9">
        <v>0</v>
      </c>
      <c r="I46" s="9">
        <v>0</v>
      </c>
      <c r="J46" s="9"/>
      <c r="K46" s="9"/>
      <c r="L46" s="9"/>
      <c r="M46" s="9"/>
      <c r="N46" s="9"/>
      <c r="O46" s="9"/>
      <c r="P46" s="9"/>
      <c r="Q46" s="9"/>
      <c r="R46" s="25"/>
      <c r="S46" s="4">
        <v>39</v>
      </c>
    </row>
    <row r="47" spans="1:19">
      <c r="A47" s="90" t="s">
        <v>105</v>
      </c>
      <c r="B47" s="98">
        <f t="shared" si="16"/>
        <v>0</v>
      </c>
      <c r="E47" s="20" t="s">
        <v>30</v>
      </c>
      <c r="F47" s="9">
        <v>0</v>
      </c>
      <c r="G47" s="9">
        <v>0</v>
      </c>
      <c r="H47" s="9">
        <v>0</v>
      </c>
      <c r="I47" s="9">
        <v>0</v>
      </c>
      <c r="J47" s="9"/>
      <c r="K47" s="9"/>
      <c r="L47" s="9"/>
      <c r="M47" s="9"/>
      <c r="N47" s="9"/>
      <c r="O47" s="9"/>
      <c r="P47" s="9"/>
      <c r="Q47" s="9"/>
      <c r="R47" s="25"/>
      <c r="S47" s="4">
        <v>40</v>
      </c>
    </row>
    <row r="48" spans="1:19">
      <c r="A48" s="90" t="s">
        <v>106</v>
      </c>
      <c r="B48" s="98">
        <f t="shared" si="16"/>
        <v>0</v>
      </c>
      <c r="E48" s="20" t="s">
        <v>30</v>
      </c>
      <c r="F48" s="9">
        <v>0</v>
      </c>
      <c r="G48" s="9">
        <v>0</v>
      </c>
      <c r="H48" s="9">
        <v>0</v>
      </c>
      <c r="I48" s="9">
        <v>0</v>
      </c>
      <c r="J48" s="9"/>
      <c r="K48" s="9"/>
      <c r="L48" s="9"/>
      <c r="M48" s="9"/>
      <c r="N48" s="9"/>
      <c r="O48" s="9"/>
      <c r="P48" s="9"/>
      <c r="Q48" s="9"/>
      <c r="R48" s="25"/>
      <c r="S48" s="4">
        <v>41</v>
      </c>
    </row>
    <row r="49" spans="1:19">
      <c r="A49" s="90" t="s">
        <v>107</v>
      </c>
      <c r="B49" s="98">
        <f t="shared" si="16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5"/>
      <c r="S49" s="4">
        <v>42</v>
      </c>
    </row>
    <row r="50" spans="1:19">
      <c r="A50" s="61" t="s">
        <v>62</v>
      </c>
      <c r="B50" s="5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4">
        <v>43</v>
      </c>
    </row>
    <row r="51" spans="1:19">
      <c r="A51" s="1" t="s">
        <v>71</v>
      </c>
      <c r="B51" s="31">
        <f t="shared" ref="B51:B58" si="17">HLOOKUP($B$7,$F$8:$Q$74,S51,FALSE)</f>
        <v>7373304</v>
      </c>
      <c r="F51" s="32">
        <f>$F$4+$F$5</f>
        <v>7373304</v>
      </c>
      <c r="G51" s="32">
        <f t="shared" ref="G51:Q51" si="18">$F$4+$F$5</f>
        <v>7373304</v>
      </c>
      <c r="H51" s="32">
        <f t="shared" si="18"/>
        <v>7373304</v>
      </c>
      <c r="I51" s="32">
        <f t="shared" si="18"/>
        <v>7373304</v>
      </c>
      <c r="J51" s="32">
        <f t="shared" si="18"/>
        <v>7373304</v>
      </c>
      <c r="K51" s="32">
        <f t="shared" si="18"/>
        <v>7373304</v>
      </c>
      <c r="L51" s="32">
        <f t="shared" si="18"/>
        <v>7373304</v>
      </c>
      <c r="M51" s="32">
        <f t="shared" si="18"/>
        <v>7373304</v>
      </c>
      <c r="N51" s="32">
        <f t="shared" si="18"/>
        <v>7373304</v>
      </c>
      <c r="O51" s="32">
        <f t="shared" si="18"/>
        <v>7373304</v>
      </c>
      <c r="P51" s="32">
        <f t="shared" si="18"/>
        <v>7373304</v>
      </c>
      <c r="Q51" s="32">
        <f t="shared" si="18"/>
        <v>7373304</v>
      </c>
      <c r="R51" s="62"/>
      <c r="S51" s="4">
        <v>44</v>
      </c>
    </row>
    <row r="52" spans="1:19">
      <c r="A52" s="1" t="s">
        <v>72</v>
      </c>
      <c r="B52" s="31">
        <f t="shared" si="17"/>
        <v>2457768</v>
      </c>
      <c r="F52" s="33">
        <f t="shared" ref="F52:Q52" si="19">F51*(F9/12)</f>
        <v>614442</v>
      </c>
      <c r="G52" s="33">
        <f t="shared" si="19"/>
        <v>1228884</v>
      </c>
      <c r="H52" s="33">
        <f t="shared" si="19"/>
        <v>1843326</v>
      </c>
      <c r="I52" s="33">
        <f t="shared" si="19"/>
        <v>2457768</v>
      </c>
      <c r="J52" s="33">
        <f t="shared" si="19"/>
        <v>3072210</v>
      </c>
      <c r="K52" s="33">
        <f t="shared" si="19"/>
        <v>3686652</v>
      </c>
      <c r="L52" s="33">
        <f t="shared" si="19"/>
        <v>4301094</v>
      </c>
      <c r="M52" s="33">
        <f t="shared" si="19"/>
        <v>4915536</v>
      </c>
      <c r="N52" s="33">
        <f t="shared" si="19"/>
        <v>5529978</v>
      </c>
      <c r="O52" s="33">
        <f t="shared" si="19"/>
        <v>6144420</v>
      </c>
      <c r="P52" s="33">
        <f t="shared" si="19"/>
        <v>6758862</v>
      </c>
      <c r="Q52" s="33">
        <f t="shared" si="19"/>
        <v>7373304</v>
      </c>
      <c r="R52" s="64"/>
      <c r="S52" s="4">
        <v>45</v>
      </c>
    </row>
    <row r="53" spans="1:19">
      <c r="A53" s="86" t="s">
        <v>67</v>
      </c>
      <c r="B53" s="98">
        <f t="shared" si="17"/>
        <v>225232.82</v>
      </c>
      <c r="F53" s="37">
        <f>F40</f>
        <v>2446.15</v>
      </c>
      <c r="G53" s="37">
        <f t="shared" ref="G53:Q53" si="20">F53+G40</f>
        <v>27102.570000000003</v>
      </c>
      <c r="H53" s="37">
        <f t="shared" si="20"/>
        <v>100980.22</v>
      </c>
      <c r="I53" s="37">
        <f t="shared" si="20"/>
        <v>225232.82</v>
      </c>
      <c r="J53" s="37">
        <f t="shared" si="20"/>
        <v>225232.82</v>
      </c>
      <c r="K53" s="37">
        <f t="shared" si="20"/>
        <v>225232.82</v>
      </c>
      <c r="L53" s="37">
        <f t="shared" si="20"/>
        <v>225232.82</v>
      </c>
      <c r="M53" s="37">
        <f t="shared" si="20"/>
        <v>225232.82</v>
      </c>
      <c r="N53" s="37">
        <f t="shared" si="20"/>
        <v>225232.82</v>
      </c>
      <c r="O53" s="37">
        <f t="shared" si="20"/>
        <v>225232.82</v>
      </c>
      <c r="P53" s="37">
        <f t="shared" si="20"/>
        <v>225232.82</v>
      </c>
      <c r="Q53" s="37">
        <f t="shared" si="20"/>
        <v>225232.82</v>
      </c>
      <c r="R53" s="67"/>
      <c r="S53" s="4">
        <v>46</v>
      </c>
    </row>
    <row r="54" spans="1:19">
      <c r="A54" s="86" t="s">
        <v>16</v>
      </c>
      <c r="B54" s="98">
        <f t="shared" si="17"/>
        <v>0</v>
      </c>
      <c r="E54" s="3"/>
      <c r="F54" s="37">
        <f>SUM(F42:F49)</f>
        <v>0</v>
      </c>
      <c r="G54" s="37">
        <f t="shared" ref="G54:Q54" si="21">SUM(G42:G49)</f>
        <v>0</v>
      </c>
      <c r="H54" s="37">
        <f t="shared" si="21"/>
        <v>0</v>
      </c>
      <c r="I54" s="37">
        <f t="shared" si="21"/>
        <v>0</v>
      </c>
      <c r="J54" s="37">
        <f t="shared" si="21"/>
        <v>0</v>
      </c>
      <c r="K54" s="37">
        <f t="shared" si="21"/>
        <v>0</v>
      </c>
      <c r="L54" s="37">
        <f t="shared" si="21"/>
        <v>0</v>
      </c>
      <c r="M54" s="37">
        <f t="shared" si="21"/>
        <v>0</v>
      </c>
      <c r="N54" s="37">
        <f t="shared" si="21"/>
        <v>0</v>
      </c>
      <c r="O54" s="37">
        <f t="shared" si="21"/>
        <v>0</v>
      </c>
      <c r="P54" s="37">
        <f t="shared" si="21"/>
        <v>0</v>
      </c>
      <c r="Q54" s="37">
        <f t="shared" si="21"/>
        <v>0</v>
      </c>
      <c r="R54" s="67"/>
      <c r="S54" s="4">
        <v>47</v>
      </c>
    </row>
    <row r="55" spans="1:19">
      <c r="A55" s="91" t="s">
        <v>68</v>
      </c>
      <c r="B55" s="35">
        <f t="shared" si="17"/>
        <v>225232.82</v>
      </c>
      <c r="C55" s="92"/>
      <c r="D55" s="92"/>
      <c r="E55" s="93"/>
      <c r="F55" s="36">
        <f>F53+F54</f>
        <v>2446.15</v>
      </c>
      <c r="G55" s="36">
        <f>G53+G54</f>
        <v>27102.570000000003</v>
      </c>
      <c r="H55" s="36">
        <f>H53+H54</f>
        <v>100980.22</v>
      </c>
      <c r="I55" s="36">
        <f t="shared" ref="I55:Q55" si="22">I53+I54</f>
        <v>225232.82</v>
      </c>
      <c r="J55" s="36">
        <f t="shared" si="22"/>
        <v>225232.82</v>
      </c>
      <c r="K55" s="36">
        <f t="shared" si="22"/>
        <v>225232.82</v>
      </c>
      <c r="L55" s="36">
        <f t="shared" si="22"/>
        <v>225232.82</v>
      </c>
      <c r="M55" s="36">
        <f t="shared" si="22"/>
        <v>225232.82</v>
      </c>
      <c r="N55" s="36">
        <f t="shared" si="22"/>
        <v>225232.82</v>
      </c>
      <c r="O55" s="36">
        <f t="shared" si="22"/>
        <v>225232.82</v>
      </c>
      <c r="P55" s="36">
        <f t="shared" si="22"/>
        <v>225232.82</v>
      </c>
      <c r="Q55" s="36">
        <f t="shared" si="22"/>
        <v>225232.82</v>
      </c>
      <c r="R55" s="67"/>
      <c r="S55" s="4">
        <v>48</v>
      </c>
    </row>
    <row r="56" spans="1:19">
      <c r="A56" s="86" t="s">
        <v>84</v>
      </c>
      <c r="B56" s="88">
        <f t="shared" si="17"/>
        <v>3.0547068180018077E-2</v>
      </c>
      <c r="F56" s="88">
        <f t="shared" ref="F56:Q56" si="23">F53/F51</f>
        <v>3.3175764894543885E-4</v>
      </c>
      <c r="G56" s="88">
        <f t="shared" si="23"/>
        <v>3.6757700482714403E-3</v>
      </c>
      <c r="H56" s="88">
        <f t="shared" si="23"/>
        <v>1.3695382694108367E-2</v>
      </c>
      <c r="I56" s="88">
        <f t="shared" si="23"/>
        <v>3.0547068180018077E-2</v>
      </c>
      <c r="J56" s="88">
        <f t="shared" si="23"/>
        <v>3.0547068180018077E-2</v>
      </c>
      <c r="K56" s="88">
        <f t="shared" si="23"/>
        <v>3.0547068180018077E-2</v>
      </c>
      <c r="L56" s="88">
        <f t="shared" si="23"/>
        <v>3.0547068180018077E-2</v>
      </c>
      <c r="M56" s="88">
        <f t="shared" si="23"/>
        <v>3.0547068180018077E-2</v>
      </c>
      <c r="N56" s="88">
        <f t="shared" si="23"/>
        <v>3.0547068180018077E-2</v>
      </c>
      <c r="O56" s="88">
        <f t="shared" si="23"/>
        <v>3.0547068180018077E-2</v>
      </c>
      <c r="P56" s="88">
        <f t="shared" si="23"/>
        <v>3.0547068180018077E-2</v>
      </c>
      <c r="Q56" s="88">
        <f t="shared" si="23"/>
        <v>3.0547068180018077E-2</v>
      </c>
      <c r="R56" s="97"/>
      <c r="S56" s="4">
        <v>49</v>
      </c>
    </row>
    <row r="57" spans="1:19">
      <c r="A57" s="86" t="s">
        <v>85</v>
      </c>
      <c r="B57" s="88">
        <f t="shared" si="17"/>
        <v>3.0547068180018077E-2</v>
      </c>
      <c r="F57" s="88">
        <f>F55/F51</f>
        <v>3.3175764894543885E-4</v>
      </c>
      <c r="G57" s="88">
        <f>G55/G51</f>
        <v>3.6757700482714403E-3</v>
      </c>
      <c r="H57" s="88">
        <f t="shared" ref="H57:Q57" si="24">H55/H51</f>
        <v>1.3695382694108367E-2</v>
      </c>
      <c r="I57" s="88">
        <f t="shared" si="24"/>
        <v>3.0547068180018077E-2</v>
      </c>
      <c r="J57" s="88">
        <f t="shared" si="24"/>
        <v>3.0547068180018077E-2</v>
      </c>
      <c r="K57" s="88">
        <f t="shared" si="24"/>
        <v>3.0547068180018077E-2</v>
      </c>
      <c r="L57" s="88">
        <f t="shared" si="24"/>
        <v>3.0547068180018077E-2</v>
      </c>
      <c r="M57" s="88">
        <f t="shared" si="24"/>
        <v>3.0547068180018077E-2</v>
      </c>
      <c r="N57" s="88">
        <f t="shared" si="24"/>
        <v>3.0547068180018077E-2</v>
      </c>
      <c r="O57" s="88">
        <f t="shared" si="24"/>
        <v>3.0547068180018077E-2</v>
      </c>
      <c r="P57" s="88">
        <f t="shared" si="24"/>
        <v>3.0547068180018077E-2</v>
      </c>
      <c r="Q57" s="88">
        <f t="shared" si="24"/>
        <v>3.0547068180018077E-2</v>
      </c>
      <c r="R57" s="97"/>
      <c r="S57" s="4">
        <v>50</v>
      </c>
    </row>
    <row r="58" spans="1:19">
      <c r="A58" s="86" t="s">
        <v>86</v>
      </c>
      <c r="B58" s="88">
        <f t="shared" si="17"/>
        <v>9.1641204540054227E-2</v>
      </c>
      <c r="F58" s="88">
        <f t="shared" ref="F58:Q58" si="25">F53/F52</f>
        <v>3.9810917873452662E-3</v>
      </c>
      <c r="G58" s="88">
        <f t="shared" si="25"/>
        <v>2.2054620289628641E-2</v>
      </c>
      <c r="H58" s="88">
        <f t="shared" si="25"/>
        <v>5.4781530776433468E-2</v>
      </c>
      <c r="I58" s="88">
        <f t="shared" si="25"/>
        <v>9.1641204540054227E-2</v>
      </c>
      <c r="J58" s="88">
        <f t="shared" si="25"/>
        <v>7.3312963632043385E-2</v>
      </c>
      <c r="K58" s="88">
        <f t="shared" si="25"/>
        <v>6.1094136360036154E-2</v>
      </c>
      <c r="L58" s="88">
        <f t="shared" si="25"/>
        <v>5.2366402594316706E-2</v>
      </c>
      <c r="M58" s="88">
        <f t="shared" si="25"/>
        <v>4.5820602270027114E-2</v>
      </c>
      <c r="N58" s="88">
        <f t="shared" si="25"/>
        <v>4.0729424240024105E-2</v>
      </c>
      <c r="O58" s="88">
        <f t="shared" si="25"/>
        <v>3.6656481816021692E-2</v>
      </c>
      <c r="P58" s="88">
        <f t="shared" si="25"/>
        <v>3.3324074378201542E-2</v>
      </c>
      <c r="Q58" s="88">
        <f t="shared" si="25"/>
        <v>3.0547068180018077E-2</v>
      </c>
      <c r="R58" s="97"/>
      <c r="S58" s="4">
        <v>51</v>
      </c>
    </row>
    <row r="59" spans="1:19">
      <c r="A59" s="61" t="s">
        <v>58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7"/>
      <c r="S59" s="4">
        <v>52</v>
      </c>
    </row>
    <row r="60" spans="1:19">
      <c r="A60" s="1" t="s">
        <v>64</v>
      </c>
      <c r="B60" s="31">
        <f>HLOOKUP($B$7,$F$8:$Q$74,S60,FALSE)</f>
        <v>29493216</v>
      </c>
      <c r="F60" s="102">
        <f>SUM($F$4:$I$4)+$F$5</f>
        <v>29493216</v>
      </c>
      <c r="G60" s="102">
        <f t="shared" ref="G60:Q60" si="26">SUM($F$4:$I$4)+$F$5</f>
        <v>29493216</v>
      </c>
      <c r="H60" s="102">
        <f t="shared" si="26"/>
        <v>29493216</v>
      </c>
      <c r="I60" s="102">
        <f t="shared" si="26"/>
        <v>29493216</v>
      </c>
      <c r="J60" s="102">
        <f t="shared" si="26"/>
        <v>29493216</v>
      </c>
      <c r="K60" s="102">
        <f>SUM($F$4:$I$4)+$F$5</f>
        <v>29493216</v>
      </c>
      <c r="L60" s="102">
        <f t="shared" si="26"/>
        <v>29493216</v>
      </c>
      <c r="M60" s="102">
        <f t="shared" si="26"/>
        <v>29493216</v>
      </c>
      <c r="N60" s="102">
        <f t="shared" si="26"/>
        <v>29493216</v>
      </c>
      <c r="O60" s="102">
        <f t="shared" si="26"/>
        <v>29493216</v>
      </c>
      <c r="P60" s="102">
        <f t="shared" si="26"/>
        <v>29493216</v>
      </c>
      <c r="Q60" s="102">
        <f t="shared" si="26"/>
        <v>29493216</v>
      </c>
      <c r="R60" s="97"/>
      <c r="S60" s="4">
        <v>53</v>
      </c>
    </row>
    <row r="61" spans="1:19">
      <c r="A61" s="86" t="s">
        <v>70</v>
      </c>
      <c r="B61" s="98">
        <f>HLOOKUP($B$7,$F$8:$Q$74,S61,FALSE)</f>
        <v>225232.82</v>
      </c>
      <c r="F61" s="101">
        <f>F53</f>
        <v>2446.15</v>
      </c>
      <c r="G61" s="101">
        <f t="shared" ref="G61:Q61" si="27">G53</f>
        <v>27102.570000000003</v>
      </c>
      <c r="H61" s="101">
        <f t="shared" si="27"/>
        <v>100980.22</v>
      </c>
      <c r="I61" s="101">
        <f t="shared" si="27"/>
        <v>225232.82</v>
      </c>
      <c r="J61" s="101">
        <f t="shared" si="27"/>
        <v>225232.82</v>
      </c>
      <c r="K61" s="101">
        <f t="shared" si="27"/>
        <v>225232.82</v>
      </c>
      <c r="L61" s="101">
        <f t="shared" si="27"/>
        <v>225232.82</v>
      </c>
      <c r="M61" s="101">
        <f t="shared" si="27"/>
        <v>225232.82</v>
      </c>
      <c r="N61" s="101">
        <f t="shared" si="27"/>
        <v>225232.82</v>
      </c>
      <c r="O61" s="101">
        <f t="shared" si="27"/>
        <v>225232.82</v>
      </c>
      <c r="P61" s="101">
        <f t="shared" si="27"/>
        <v>225232.82</v>
      </c>
      <c r="Q61" s="101">
        <f t="shared" si="27"/>
        <v>225232.82</v>
      </c>
      <c r="R61" s="97"/>
      <c r="S61" s="4">
        <v>54</v>
      </c>
    </row>
    <row r="62" spans="1:19">
      <c r="A62" s="91" t="s">
        <v>69</v>
      </c>
      <c r="B62" s="106">
        <f>HLOOKUP($B$7,$F$8:$Q$74,S62,FALSE)</f>
        <v>225232.82</v>
      </c>
      <c r="F62" s="35">
        <f>F61+F54</f>
        <v>2446.15</v>
      </c>
      <c r="G62" s="35">
        <f>G61+G54</f>
        <v>27102.570000000003</v>
      </c>
      <c r="H62" s="35">
        <f t="shared" ref="H62:Q62" si="28">H61+H54</f>
        <v>100980.22</v>
      </c>
      <c r="I62" s="35">
        <f t="shared" si="28"/>
        <v>225232.82</v>
      </c>
      <c r="J62" s="35">
        <f t="shared" si="28"/>
        <v>225232.82</v>
      </c>
      <c r="K62" s="35">
        <f t="shared" si="28"/>
        <v>225232.82</v>
      </c>
      <c r="L62" s="35">
        <f t="shared" si="28"/>
        <v>225232.82</v>
      </c>
      <c r="M62" s="35">
        <f t="shared" si="28"/>
        <v>225232.82</v>
      </c>
      <c r="N62" s="35">
        <f t="shared" si="28"/>
        <v>225232.82</v>
      </c>
      <c r="O62" s="35">
        <f t="shared" si="28"/>
        <v>225232.82</v>
      </c>
      <c r="P62" s="35">
        <f t="shared" si="28"/>
        <v>225232.82</v>
      </c>
      <c r="Q62" s="35">
        <f t="shared" si="28"/>
        <v>225232.82</v>
      </c>
      <c r="R62" s="97"/>
      <c r="S62" s="4">
        <v>55</v>
      </c>
    </row>
    <row r="63" spans="1:19">
      <c r="A63" s="86" t="s">
        <v>65</v>
      </c>
      <c r="B63" s="88">
        <f>HLOOKUP($B$7,$F$8:$Q$74,S63,FALSE)</f>
        <v>7.6367670450045192E-3</v>
      </c>
      <c r="F63" s="88">
        <f>F61/F60</f>
        <v>8.2939412236359713E-5</v>
      </c>
      <c r="G63" s="88">
        <f t="shared" ref="G63:Q63" si="29">G61/G60</f>
        <v>9.1894251206786008E-4</v>
      </c>
      <c r="H63" s="88">
        <f t="shared" si="29"/>
        <v>3.4238456735270918E-3</v>
      </c>
      <c r="I63" s="88">
        <f t="shared" si="29"/>
        <v>7.6367670450045192E-3</v>
      </c>
      <c r="J63" s="88">
        <f t="shared" si="29"/>
        <v>7.6367670450045192E-3</v>
      </c>
      <c r="K63" s="88">
        <f t="shared" si="29"/>
        <v>7.6367670450045192E-3</v>
      </c>
      <c r="L63" s="88">
        <f t="shared" si="29"/>
        <v>7.6367670450045192E-3</v>
      </c>
      <c r="M63" s="88">
        <f t="shared" si="29"/>
        <v>7.6367670450045192E-3</v>
      </c>
      <c r="N63" s="88">
        <f t="shared" si="29"/>
        <v>7.6367670450045192E-3</v>
      </c>
      <c r="O63" s="88">
        <f t="shared" si="29"/>
        <v>7.6367670450045192E-3</v>
      </c>
      <c r="P63" s="88">
        <f t="shared" si="29"/>
        <v>7.6367670450045192E-3</v>
      </c>
      <c r="Q63" s="88">
        <f t="shared" si="29"/>
        <v>7.6367670450045192E-3</v>
      </c>
      <c r="R63" s="97"/>
      <c r="S63" s="4">
        <v>56</v>
      </c>
    </row>
    <row r="64" spans="1:19">
      <c r="A64" s="86" t="s">
        <v>66</v>
      </c>
      <c r="B64" s="88">
        <f>HLOOKUP($B$7,$F$8:$Q$74,S64,FALSE)</f>
        <v>7.6367670450045192E-3</v>
      </c>
      <c r="F64" s="88">
        <f>F62/F60</f>
        <v>8.2939412236359713E-5</v>
      </c>
      <c r="G64" s="88">
        <f t="shared" ref="G64:Q64" si="30">G62/G60</f>
        <v>9.1894251206786008E-4</v>
      </c>
      <c r="H64" s="88">
        <f t="shared" si="30"/>
        <v>3.4238456735270918E-3</v>
      </c>
      <c r="I64" s="88">
        <f t="shared" si="30"/>
        <v>7.6367670450045192E-3</v>
      </c>
      <c r="J64" s="88">
        <f t="shared" si="30"/>
        <v>7.6367670450045192E-3</v>
      </c>
      <c r="K64" s="88">
        <f t="shared" si="30"/>
        <v>7.6367670450045192E-3</v>
      </c>
      <c r="L64" s="88">
        <f t="shared" si="30"/>
        <v>7.6367670450045192E-3</v>
      </c>
      <c r="M64" s="88">
        <f t="shared" si="30"/>
        <v>7.6367670450045192E-3</v>
      </c>
      <c r="N64" s="88">
        <f t="shared" si="30"/>
        <v>7.6367670450045192E-3</v>
      </c>
      <c r="O64" s="88">
        <f t="shared" si="30"/>
        <v>7.6367670450045192E-3</v>
      </c>
      <c r="P64" s="88">
        <f t="shared" si="30"/>
        <v>7.6367670450045192E-3</v>
      </c>
      <c r="Q64" s="88">
        <f t="shared" si="30"/>
        <v>7.6367670450045192E-3</v>
      </c>
      <c r="R64" s="97"/>
      <c r="S64" s="4">
        <v>57</v>
      </c>
    </row>
    <row r="65" spans="1:19">
      <c r="A65" s="61" t="s">
        <v>17</v>
      </c>
      <c r="B65" s="5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5"/>
      <c r="S65" s="4">
        <v>58</v>
      </c>
    </row>
    <row r="66" spans="1:19">
      <c r="A66" s="18" t="s">
        <v>18</v>
      </c>
      <c r="B66" s="40">
        <f>HLOOKUP($B$7,$F$8:$Q$74,S66,FALSE)</f>
        <v>0</v>
      </c>
      <c r="E66" s="20" t="s">
        <v>36</v>
      </c>
      <c r="F66" s="58">
        <v>0</v>
      </c>
      <c r="G66" s="58">
        <v>0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19">
      <c r="A67" s="18" t="s">
        <v>19</v>
      </c>
      <c r="B67" s="40">
        <f>HLOOKUP($B$7,$F$8:$Q$74,S67,FALSE)</f>
        <v>0</v>
      </c>
      <c r="E67" s="20" t="s">
        <v>36</v>
      </c>
      <c r="F67" s="58">
        <v>0</v>
      </c>
      <c r="G67" s="58">
        <v>0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19">
      <c r="A68" s="18" t="s">
        <v>20</v>
      </c>
      <c r="B68" s="40">
        <f>HLOOKUP($B$7,$F$8:$Q$74,S68,FALSE)</f>
        <v>0</v>
      </c>
      <c r="E68" s="20" t="s">
        <v>36</v>
      </c>
      <c r="F68" s="58">
        <v>0</v>
      </c>
      <c r="G68" s="58">
        <v>0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19">
      <c r="A69" s="18" t="s">
        <v>21</v>
      </c>
      <c r="B69" s="40">
        <f>HLOOKUP($B$7,$F$8:$Q$74,S69,FALSE)</f>
        <v>0</v>
      </c>
      <c r="E69" s="20" t="s">
        <v>37</v>
      </c>
      <c r="F69" s="58">
        <v>0</v>
      </c>
      <c r="G69" s="58">
        <v>0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19">
      <c r="A70" s="61" t="s">
        <v>8</v>
      </c>
      <c r="B70" s="5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5"/>
      <c r="S70" s="4">
        <v>63</v>
      </c>
    </row>
    <row r="71" spans="1:19">
      <c r="A71" s="18" t="s">
        <v>1</v>
      </c>
      <c r="B71" s="19">
        <f>HLOOKUP($B$7,$F$8:$Q$74,S71,FALSE)</f>
        <v>600</v>
      </c>
      <c r="E71" s="20" t="s">
        <v>30</v>
      </c>
      <c r="F71" s="7">
        <v>89</v>
      </c>
      <c r="G71" s="161">
        <v>272</v>
      </c>
      <c r="H71" s="7">
        <v>430</v>
      </c>
      <c r="I71" s="7">
        <v>600</v>
      </c>
      <c r="J71" s="7"/>
      <c r="K71" s="7"/>
      <c r="L71" s="7"/>
      <c r="M71" s="7"/>
      <c r="N71" s="7"/>
      <c r="O71" s="7"/>
      <c r="P71" s="7"/>
      <c r="Q71" s="7"/>
      <c r="R71" s="25"/>
      <c r="S71" s="4">
        <v>64</v>
      </c>
    </row>
    <row r="72" spans="1:19">
      <c r="A72" s="18" t="s">
        <v>38</v>
      </c>
      <c r="B72" s="19">
        <f>HLOOKUP($B$7,$F$8:$Q$74,S72,FALSE)</f>
        <v>600</v>
      </c>
      <c r="E72" s="20" t="s">
        <v>30</v>
      </c>
      <c r="F72" s="7">
        <v>89</v>
      </c>
      <c r="G72" s="161">
        <v>272</v>
      </c>
      <c r="H72" s="7">
        <v>430</v>
      </c>
      <c r="I72" s="7">
        <v>600</v>
      </c>
      <c r="J72" s="7"/>
      <c r="K72" s="7"/>
      <c r="L72" s="7"/>
      <c r="M72" s="7"/>
      <c r="N72" s="7"/>
      <c r="O72" s="7"/>
      <c r="P72" s="7"/>
      <c r="Q72" s="7"/>
      <c r="R72" s="25"/>
      <c r="S72" s="4">
        <v>65</v>
      </c>
    </row>
    <row r="73" spans="1:19" s="4" customFormat="1">
      <c r="A73" s="61" t="s">
        <v>32</v>
      </c>
      <c r="B73" s="59"/>
      <c r="C73" s="41"/>
      <c r="E73" s="4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5"/>
      <c r="S73" s="4">
        <v>66</v>
      </c>
    </row>
    <row r="74" spans="1:19" s="4" customFormat="1">
      <c r="A74" s="18" t="s">
        <v>33</v>
      </c>
      <c r="B74" s="19">
        <f>HLOOKUP($B$7,$F$8:$Q$74,S74,FALSE)</f>
        <v>0</v>
      </c>
      <c r="C74" s="41"/>
      <c r="E74" s="20" t="s">
        <v>34</v>
      </c>
      <c r="F74" s="42">
        <v>0</v>
      </c>
      <c r="G74" s="42">
        <f>F74</f>
        <v>0</v>
      </c>
      <c r="H74" s="43">
        <f>G74</f>
        <v>0</v>
      </c>
      <c r="I74" s="42">
        <f>H74</f>
        <v>0</v>
      </c>
      <c r="J74" s="42">
        <f>H74</f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5"/>
      <c r="S74" s="4">
        <v>67</v>
      </c>
    </row>
    <row r="75" spans="1:19" s="168" customFormat="1" ht="15" customHeight="1">
      <c r="A75" s="165" t="s">
        <v>146</v>
      </c>
      <c r="B75" s="120">
        <f>HLOOKUP($B$7,$F$8:$Q$75,S75,FALSE)</f>
        <v>0</v>
      </c>
      <c r="C75" s="166"/>
      <c r="D75" s="166"/>
      <c r="E75" s="167" t="s">
        <v>34</v>
      </c>
      <c r="F75" s="119">
        <v>0</v>
      </c>
      <c r="G75" s="119">
        <v>0</v>
      </c>
      <c r="H75" s="118">
        <v>0</v>
      </c>
      <c r="I75" s="119">
        <f>H75</f>
        <v>0</v>
      </c>
      <c r="J75" s="119">
        <f>H75</f>
        <v>0</v>
      </c>
      <c r="K75" s="118"/>
      <c r="L75" s="119">
        <f>K75</f>
        <v>0</v>
      </c>
      <c r="M75" s="119">
        <f>K75</f>
        <v>0</v>
      </c>
      <c r="N75" s="118"/>
      <c r="O75" s="119">
        <f>N75</f>
        <v>0</v>
      </c>
      <c r="P75" s="119">
        <f>N75</f>
        <v>0</v>
      </c>
      <c r="Q75" s="118"/>
      <c r="R75" s="117"/>
      <c r="S75" s="168">
        <v>68</v>
      </c>
    </row>
    <row r="76" spans="1:19" s="4" customFormat="1" ht="9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19" s="4" customFormat="1">
      <c r="A77" s="72" t="s">
        <v>43</v>
      </c>
      <c r="B77" s="69"/>
      <c r="C77" s="41"/>
      <c r="R77" s="68"/>
    </row>
    <row r="78" spans="1:19" s="4" customFormat="1">
      <c r="A78" s="61" t="s">
        <v>31</v>
      </c>
      <c r="B78" s="12"/>
      <c r="C78" s="41"/>
      <c r="R78" s="68"/>
    </row>
    <row r="79" spans="1:19" s="4" customFormat="1">
      <c r="A79" s="84">
        <f>VLOOKUP(B7,E88:T99,2,FALSE)</f>
        <v>0</v>
      </c>
      <c r="B79" s="70"/>
      <c r="C79" s="41"/>
      <c r="R79" s="68"/>
    </row>
    <row r="80" spans="1:19" s="4" customFormat="1">
      <c r="A80" s="61" t="s">
        <v>40</v>
      </c>
      <c r="B80" s="12"/>
      <c r="C80" s="41"/>
      <c r="R80" s="68"/>
    </row>
    <row r="81" spans="1:20" s="4" customFormat="1">
      <c r="A81" s="84">
        <f>VLOOKUP(B7,E88:T99,6,FALSE)</f>
        <v>0</v>
      </c>
      <c r="B81" s="71"/>
      <c r="C81" s="41"/>
      <c r="R81" s="68"/>
    </row>
    <row r="82" spans="1:20" s="4" customFormat="1">
      <c r="A82" s="61" t="s">
        <v>44</v>
      </c>
      <c r="B82" s="12"/>
      <c r="C82" s="41"/>
      <c r="R82" s="68"/>
    </row>
    <row r="83" spans="1:20" s="4" customFormat="1" ht="15" customHeight="1">
      <c r="A83" s="84">
        <f>VLOOKUP(B7,E88:T99,10,FALSE)</f>
        <v>0</v>
      </c>
      <c r="B83" s="73"/>
      <c r="C83" s="41"/>
      <c r="R83" s="68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20">
      <c r="A86" s="7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0"/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1" t="s">
        <v>155</v>
      </c>
      <c r="S88" s="171"/>
      <c r="T88" s="171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1" t="s">
        <v>156</v>
      </c>
      <c r="S89" s="171"/>
      <c r="T89" s="171"/>
    </row>
    <row r="90" spans="1:20">
      <c r="D90" s="41"/>
      <c r="E90" s="14">
        <v>40969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 t="s">
        <v>154</v>
      </c>
      <c r="S90" s="171"/>
      <c r="T90" s="171"/>
    </row>
    <row r="91" spans="1:20">
      <c r="D91" s="41"/>
      <c r="E91" s="14">
        <v>41000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1"/>
      <c r="S91" s="171"/>
      <c r="T91" s="171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</sheetData>
  <mergeCells count="54">
    <mergeCell ref="R97:T97"/>
    <mergeCell ref="R98:T98"/>
    <mergeCell ref="R99:T99"/>
    <mergeCell ref="R92:T92"/>
    <mergeCell ref="R93:T93"/>
    <mergeCell ref="R94:T94"/>
    <mergeCell ref="R95:T95"/>
    <mergeCell ref="R96:T96"/>
    <mergeCell ref="R87:T87"/>
    <mergeCell ref="R88:T88"/>
    <mergeCell ref="R89:T89"/>
    <mergeCell ref="R90:T90"/>
    <mergeCell ref="R91:T91"/>
    <mergeCell ref="D1:F1"/>
    <mergeCell ref="F96:I96"/>
    <mergeCell ref="F94:I94"/>
    <mergeCell ref="F92:I92"/>
    <mergeCell ref="F90:I90"/>
    <mergeCell ref="F88:I88"/>
    <mergeCell ref="D85:G85"/>
    <mergeCell ref="F87:I87"/>
    <mergeCell ref="F98:I98"/>
    <mergeCell ref="J98:M98"/>
    <mergeCell ref="N98:Q98"/>
    <mergeCell ref="F99:I99"/>
    <mergeCell ref="J99:M99"/>
    <mergeCell ref="N99:Q99"/>
    <mergeCell ref="J96:M96"/>
    <mergeCell ref="N96:Q96"/>
    <mergeCell ref="F97:I97"/>
    <mergeCell ref="J97:M97"/>
    <mergeCell ref="N97:Q97"/>
    <mergeCell ref="J94:M94"/>
    <mergeCell ref="N94:Q94"/>
    <mergeCell ref="F95:I95"/>
    <mergeCell ref="J95:M95"/>
    <mergeCell ref="N95:Q95"/>
    <mergeCell ref="J92:M92"/>
    <mergeCell ref="N92:Q92"/>
    <mergeCell ref="F93:I93"/>
    <mergeCell ref="J93:M93"/>
    <mergeCell ref="N93:Q93"/>
    <mergeCell ref="J90:M90"/>
    <mergeCell ref="N90:Q90"/>
    <mergeCell ref="F91:I91"/>
    <mergeCell ref="J91:M91"/>
    <mergeCell ref="N91:Q91"/>
    <mergeCell ref="J87:M87"/>
    <mergeCell ref="N87:Q87"/>
    <mergeCell ref="J88:M88"/>
    <mergeCell ref="N88:Q88"/>
    <mergeCell ref="F89:I89"/>
    <mergeCell ref="J89:M89"/>
    <mergeCell ref="N89:Q89"/>
  </mergeCells>
  <dataValidations disablePrompts="1"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100"/>
  <sheetViews>
    <sheetView topLeftCell="A41" zoomScaleNormal="100" workbookViewId="0">
      <pane xSplit="1" topLeftCell="B1" activePane="topRight" state="frozen"/>
      <selection activeCell="E8" sqref="E8"/>
      <selection pane="topRight" activeCell="I72" sqref="I72"/>
    </sheetView>
  </sheetViews>
  <sheetFormatPr defaultRowHeight="15"/>
  <cols>
    <col min="1" max="1" width="62.7109375" style="3" customWidth="1"/>
    <col min="2" max="2" width="40.5703125" style="3" bestFit="1" customWidth="1"/>
    <col min="3" max="3" width="6.5703125" style="4" customWidth="1"/>
    <col min="4" max="4" width="4.7109375" style="4" customWidth="1"/>
    <col min="5" max="5" width="24.28515625" style="4" customWidth="1"/>
    <col min="6" max="6" width="15.7109375" style="4" customWidth="1"/>
    <col min="7" max="18" width="15.7109375" style="3" customWidth="1"/>
    <col min="19" max="19" width="6.42578125" style="3" customWidth="1"/>
    <col min="20" max="20" width="28.5703125" style="3" customWidth="1"/>
    <col min="21" max="21" width="15.7109375" style="3" customWidth="1"/>
    <col min="22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  <c r="G1" s="172"/>
    </row>
    <row r="2" spans="1:19">
      <c r="A2" s="1" t="s">
        <v>4</v>
      </c>
      <c r="B2" s="108" t="s">
        <v>112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111</v>
      </c>
      <c r="C3" s="6"/>
      <c r="E3" s="111" t="s">
        <v>73</v>
      </c>
      <c r="F3" s="109">
        <v>132210</v>
      </c>
      <c r="G3" s="109">
        <v>132210</v>
      </c>
      <c r="H3" s="109">
        <v>132210</v>
      </c>
      <c r="I3" s="109">
        <v>132210</v>
      </c>
    </row>
    <row r="4" spans="1:19">
      <c r="A4" s="1" t="s">
        <v>9</v>
      </c>
      <c r="B4" s="113">
        <v>40841</v>
      </c>
      <c r="C4" s="8"/>
      <c r="E4" s="111" t="s">
        <v>74</v>
      </c>
      <c r="F4" s="110">
        <v>5986359</v>
      </c>
      <c r="G4" s="110">
        <v>5986359</v>
      </c>
      <c r="H4" s="110">
        <v>5986359</v>
      </c>
      <c r="I4" s="110">
        <v>5986359</v>
      </c>
      <c r="K4" s="10"/>
      <c r="L4" s="10"/>
      <c r="M4" s="10"/>
      <c r="N4" s="10"/>
      <c r="O4" s="10"/>
      <c r="P4" s="10"/>
      <c r="Q4" s="10"/>
      <c r="R4" s="10"/>
      <c r="S4" s="11"/>
    </row>
    <row r="5" spans="1:19">
      <c r="A5" s="1" t="s">
        <v>10</v>
      </c>
      <c r="B5" s="113">
        <v>40547</v>
      </c>
      <c r="C5" s="8"/>
      <c r="E5" s="111" t="s">
        <v>93</v>
      </c>
      <c r="F5" s="1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spans="1:19">
      <c r="A6" s="1" t="s">
        <v>99</v>
      </c>
      <c r="B6" s="113">
        <v>40909</v>
      </c>
      <c r="C6" s="8"/>
      <c r="E6" s="103"/>
      <c r="F6" s="103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19">
      <c r="A7" s="1" t="s">
        <v>2</v>
      </c>
      <c r="B7" s="60">
        <v>41000</v>
      </c>
      <c r="C7" s="12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5" t="s">
        <v>39</v>
      </c>
    </row>
    <row r="8" spans="1:19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34"/>
      <c r="S9" s="4">
        <v>2</v>
      </c>
    </row>
    <row r="10" spans="1:19">
      <c r="A10" s="61" t="s">
        <v>92</v>
      </c>
      <c r="B10" s="59"/>
      <c r="E10" s="13" t="s">
        <v>29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">
        <v>3</v>
      </c>
    </row>
    <row r="11" spans="1:19">
      <c r="A11" s="18" t="s">
        <v>12</v>
      </c>
      <c r="B11" s="19">
        <f>HLOOKUP($B$7,$F$8:$Q$74,S11,FALSE)</f>
        <v>2523.3402284999952</v>
      </c>
      <c r="E11" s="20" t="s">
        <v>28</v>
      </c>
      <c r="F11" s="7">
        <v>202.2</v>
      </c>
      <c r="G11" s="7">
        <v>242</v>
      </c>
      <c r="H11" s="7">
        <v>564.27315524999949</v>
      </c>
      <c r="I11" s="7">
        <v>2523.3402284999952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3531.8133837499945</v>
      </c>
      <c r="S11" s="4">
        <v>4</v>
      </c>
    </row>
    <row r="12" spans="1:19">
      <c r="A12" s="18" t="s">
        <v>13</v>
      </c>
      <c r="B12" s="19">
        <f>HLOOKUP($B$7,$F$8:$Q$74,S12,FALSE)</f>
        <v>0</v>
      </c>
      <c r="E12" s="20" t="s">
        <v>28</v>
      </c>
      <c r="F12" s="7">
        <v>0</v>
      </c>
      <c r="G12" s="7">
        <v>0</v>
      </c>
      <c r="H12" s="7">
        <v>0</v>
      </c>
      <c r="I12" s="7">
        <v>0</v>
      </c>
      <c r="J12" s="7"/>
      <c r="K12" s="7"/>
      <c r="L12" s="7"/>
      <c r="M12" s="7"/>
      <c r="N12" s="7"/>
      <c r="O12" s="7"/>
      <c r="P12" s="7"/>
      <c r="Q12" s="7"/>
      <c r="R12" s="24">
        <f t="shared" ref="R12:R13" si="0">SUM(F12:Q12)</f>
        <v>0</v>
      </c>
      <c r="S12" s="4">
        <v>5</v>
      </c>
    </row>
    <row r="13" spans="1:19">
      <c r="A13" s="18" t="s">
        <v>98</v>
      </c>
      <c r="B13" s="75">
        <f>HLOOKUP($B$7,$F$8:$Q$74,S13,FALSE)</f>
        <v>0</v>
      </c>
      <c r="E13" s="20" t="s">
        <v>28</v>
      </c>
      <c r="F13" s="77">
        <v>0</v>
      </c>
      <c r="G13" s="77">
        <v>0</v>
      </c>
      <c r="H13" s="77">
        <v>0</v>
      </c>
      <c r="I13" s="77">
        <v>0</v>
      </c>
      <c r="J13" s="77"/>
      <c r="K13" s="77"/>
      <c r="L13" s="77"/>
      <c r="M13" s="77"/>
      <c r="N13" s="77"/>
      <c r="O13" s="77"/>
      <c r="P13" s="77"/>
      <c r="Q13" s="77"/>
      <c r="R13" s="82">
        <f t="shared" si="0"/>
        <v>0</v>
      </c>
      <c r="S13" s="4">
        <v>6</v>
      </c>
    </row>
    <row r="14" spans="1:19">
      <c r="A14" s="61" t="s">
        <v>75</v>
      </c>
      <c r="B14" s="59"/>
      <c r="E14" s="5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34"/>
      <c r="S14" s="4">
        <v>7</v>
      </c>
    </row>
    <row r="15" spans="1:19">
      <c r="A15" s="1" t="s">
        <v>80</v>
      </c>
      <c r="B15" s="23">
        <f t="shared" ref="B15:B22" si="1">HLOOKUP($B$7,$F$8:$Q$74,S15,FALSE)</f>
        <v>132210</v>
      </c>
      <c r="E15" s="5"/>
      <c r="F15" s="24">
        <f>$F$3</f>
        <v>132210</v>
      </c>
      <c r="G15" s="24">
        <f t="shared" ref="G15:Q15" si="2">$F$3</f>
        <v>132210</v>
      </c>
      <c r="H15" s="24">
        <f t="shared" si="2"/>
        <v>132210</v>
      </c>
      <c r="I15" s="24">
        <f t="shared" si="2"/>
        <v>132210</v>
      </c>
      <c r="J15" s="24">
        <f t="shared" si="2"/>
        <v>132210</v>
      </c>
      <c r="K15" s="24">
        <f t="shared" si="2"/>
        <v>132210</v>
      </c>
      <c r="L15" s="24">
        <f t="shared" si="2"/>
        <v>132210</v>
      </c>
      <c r="M15" s="24">
        <f t="shared" si="2"/>
        <v>132210</v>
      </c>
      <c r="N15" s="24">
        <f t="shared" si="2"/>
        <v>132210</v>
      </c>
      <c r="O15" s="24">
        <f t="shared" si="2"/>
        <v>132210</v>
      </c>
      <c r="P15" s="24">
        <f t="shared" si="2"/>
        <v>132210</v>
      </c>
      <c r="Q15" s="24">
        <f t="shared" si="2"/>
        <v>132210</v>
      </c>
      <c r="R15" s="25"/>
      <c r="S15" s="4">
        <v>8</v>
      </c>
    </row>
    <row r="16" spans="1:19">
      <c r="A16" s="1" t="s">
        <v>81</v>
      </c>
      <c r="B16" s="23">
        <f t="shared" si="1"/>
        <v>44070</v>
      </c>
      <c r="E16" s="5"/>
      <c r="F16" s="24">
        <f>F15*(F9/12)</f>
        <v>11017.5</v>
      </c>
      <c r="G16" s="24">
        <f t="shared" ref="G16:Q16" si="3">G15*(G9/12)</f>
        <v>22035</v>
      </c>
      <c r="H16" s="24">
        <f t="shared" si="3"/>
        <v>33052.5</v>
      </c>
      <c r="I16" s="24">
        <f t="shared" si="3"/>
        <v>44070</v>
      </c>
      <c r="J16" s="24">
        <f t="shared" si="3"/>
        <v>55087.5</v>
      </c>
      <c r="K16" s="24">
        <f t="shared" si="3"/>
        <v>66105</v>
      </c>
      <c r="L16" s="24">
        <f t="shared" si="3"/>
        <v>77122.5</v>
      </c>
      <c r="M16" s="24">
        <f t="shared" si="3"/>
        <v>88140</v>
      </c>
      <c r="N16" s="24">
        <f t="shared" si="3"/>
        <v>99157.5</v>
      </c>
      <c r="O16" s="24">
        <f>O15*(O9/12)</f>
        <v>110175</v>
      </c>
      <c r="P16" s="24">
        <f t="shared" si="3"/>
        <v>121192.5</v>
      </c>
      <c r="Q16" s="24">
        <f t="shared" si="3"/>
        <v>132210</v>
      </c>
      <c r="R16" s="25"/>
      <c r="S16" s="4">
        <v>9</v>
      </c>
    </row>
    <row r="17" spans="1:19">
      <c r="A17" s="86" t="s">
        <v>79</v>
      </c>
      <c r="B17" s="19">
        <f t="shared" si="1"/>
        <v>3531.8133837499945</v>
      </c>
      <c r="E17" s="5"/>
      <c r="F17" s="21">
        <f>F11</f>
        <v>202.2</v>
      </c>
      <c r="G17" s="21">
        <f>F17+G11</f>
        <v>444.2</v>
      </c>
      <c r="H17" s="21">
        <f t="shared" ref="H17:Q17" si="4">G17+H11</f>
        <v>1008.4731552499995</v>
      </c>
      <c r="I17" s="21">
        <f t="shared" si="4"/>
        <v>3531.8133837499945</v>
      </c>
      <c r="J17" s="21">
        <f t="shared" si="4"/>
        <v>3531.8133837499945</v>
      </c>
      <c r="K17" s="21">
        <f t="shared" si="4"/>
        <v>3531.8133837499945</v>
      </c>
      <c r="L17" s="21">
        <f t="shared" si="4"/>
        <v>3531.8133837499945</v>
      </c>
      <c r="M17" s="21">
        <f t="shared" si="4"/>
        <v>3531.8133837499945</v>
      </c>
      <c r="N17" s="21">
        <f t="shared" si="4"/>
        <v>3531.8133837499945</v>
      </c>
      <c r="O17" s="21">
        <f t="shared" si="4"/>
        <v>3531.8133837499945</v>
      </c>
      <c r="P17" s="21">
        <f t="shared" si="4"/>
        <v>3531.8133837499945</v>
      </c>
      <c r="Q17" s="21">
        <f t="shared" si="4"/>
        <v>3531.8133837499945</v>
      </c>
      <c r="R17" s="27"/>
      <c r="S17" s="4">
        <v>10</v>
      </c>
    </row>
    <row r="18" spans="1:19">
      <c r="A18" s="86" t="s">
        <v>11</v>
      </c>
      <c r="B18" s="19">
        <f t="shared" si="1"/>
        <v>4644.9121072000007</v>
      </c>
      <c r="E18" s="20" t="s">
        <v>30</v>
      </c>
      <c r="F18" s="7">
        <v>552.5</v>
      </c>
      <c r="G18" s="161">
        <v>755.5</v>
      </c>
      <c r="H18" s="7">
        <v>3354.5233600000006</v>
      </c>
      <c r="I18" s="7">
        <v>4644.9121072000007</v>
      </c>
      <c r="J18" s="7"/>
      <c r="K18" s="7"/>
      <c r="L18" s="7"/>
      <c r="M18" s="7"/>
      <c r="N18" s="7"/>
      <c r="O18" s="7"/>
      <c r="P18" s="7"/>
      <c r="Q18" s="7"/>
      <c r="R18" s="27"/>
      <c r="S18" s="4">
        <v>11</v>
      </c>
    </row>
    <row r="19" spans="1:19">
      <c r="A19" s="87" t="s">
        <v>45</v>
      </c>
      <c r="B19" s="51">
        <f t="shared" si="1"/>
        <v>8176.7254909499952</v>
      </c>
      <c r="C19" s="92"/>
      <c r="D19" s="92"/>
      <c r="E19" s="92"/>
      <c r="F19" s="26">
        <f>F17+F18</f>
        <v>754.7</v>
      </c>
      <c r="G19" s="26">
        <f t="shared" ref="G19:Q19" si="5">G17+G18</f>
        <v>1199.7</v>
      </c>
      <c r="H19" s="26">
        <f t="shared" si="5"/>
        <v>4362.9965152499999</v>
      </c>
      <c r="I19" s="26">
        <f t="shared" si="5"/>
        <v>8176.7254909499952</v>
      </c>
      <c r="J19" s="26">
        <f t="shared" si="5"/>
        <v>3531.8133837499945</v>
      </c>
      <c r="K19" s="26">
        <f t="shared" si="5"/>
        <v>3531.8133837499945</v>
      </c>
      <c r="L19" s="26">
        <f t="shared" si="5"/>
        <v>3531.8133837499945</v>
      </c>
      <c r="M19" s="26">
        <f t="shared" si="5"/>
        <v>3531.8133837499945</v>
      </c>
      <c r="N19" s="26">
        <f t="shared" si="5"/>
        <v>3531.8133837499945</v>
      </c>
      <c r="O19" s="26">
        <f t="shared" si="5"/>
        <v>3531.8133837499945</v>
      </c>
      <c r="P19" s="26">
        <f t="shared" si="5"/>
        <v>3531.8133837499945</v>
      </c>
      <c r="Q19" s="26">
        <f t="shared" si="5"/>
        <v>3531.8133837499945</v>
      </c>
      <c r="R19" s="28"/>
      <c r="S19" s="4">
        <v>12</v>
      </c>
    </row>
    <row r="20" spans="1:19">
      <c r="A20" s="86" t="s">
        <v>7</v>
      </c>
      <c r="B20" s="88">
        <f t="shared" si="1"/>
        <v>2.6713662988805648E-2</v>
      </c>
      <c r="F20" s="88">
        <f>F17/F15</f>
        <v>1.5293850692080779E-3</v>
      </c>
      <c r="G20" s="88">
        <f t="shared" ref="G20:Q20" si="6">G17/G15</f>
        <v>3.359806368655926E-3</v>
      </c>
      <c r="H20" s="88">
        <f t="shared" si="6"/>
        <v>7.6278129888056843E-3</v>
      </c>
      <c r="I20" s="88">
        <f t="shared" si="6"/>
        <v>2.6713662988805648E-2</v>
      </c>
      <c r="J20" s="88">
        <f t="shared" si="6"/>
        <v>2.6713662988805648E-2</v>
      </c>
      <c r="K20" s="88">
        <f t="shared" si="6"/>
        <v>2.6713662988805648E-2</v>
      </c>
      <c r="L20" s="88">
        <f t="shared" si="6"/>
        <v>2.6713662988805648E-2</v>
      </c>
      <c r="M20" s="88">
        <f t="shared" si="6"/>
        <v>2.6713662988805648E-2</v>
      </c>
      <c r="N20" s="88">
        <f t="shared" si="6"/>
        <v>2.6713662988805648E-2</v>
      </c>
      <c r="O20" s="88">
        <f t="shared" si="6"/>
        <v>2.6713662988805648E-2</v>
      </c>
      <c r="P20" s="88">
        <f t="shared" si="6"/>
        <v>2.6713662988805648E-2</v>
      </c>
      <c r="Q20" s="88">
        <f t="shared" si="6"/>
        <v>2.6713662988805648E-2</v>
      </c>
      <c r="R20" s="39"/>
      <c r="S20" s="4">
        <v>13</v>
      </c>
    </row>
    <row r="21" spans="1:19">
      <c r="A21" s="86" t="s">
        <v>49</v>
      </c>
      <c r="B21" s="88">
        <f t="shared" si="1"/>
        <v>6.1846497927161299E-2</v>
      </c>
      <c r="F21" s="88">
        <f>F19/F15</f>
        <v>5.7083427879888061E-3</v>
      </c>
      <c r="G21" s="88">
        <f t="shared" ref="G21:Q21" si="7">G19/G15</f>
        <v>9.0742001361470391E-3</v>
      </c>
      <c r="H21" s="88">
        <f t="shared" si="7"/>
        <v>3.3000503103017928E-2</v>
      </c>
      <c r="I21" s="88">
        <f t="shared" si="7"/>
        <v>6.1846497927161299E-2</v>
      </c>
      <c r="J21" s="88">
        <f t="shared" si="7"/>
        <v>2.6713662988805648E-2</v>
      </c>
      <c r="K21" s="88">
        <f t="shared" si="7"/>
        <v>2.6713662988805648E-2</v>
      </c>
      <c r="L21" s="88">
        <f t="shared" si="7"/>
        <v>2.6713662988805648E-2</v>
      </c>
      <c r="M21" s="88">
        <f t="shared" si="7"/>
        <v>2.6713662988805648E-2</v>
      </c>
      <c r="N21" s="88">
        <f t="shared" si="7"/>
        <v>2.6713662988805648E-2</v>
      </c>
      <c r="O21" s="88">
        <f t="shared" si="7"/>
        <v>2.6713662988805648E-2</v>
      </c>
      <c r="P21" s="88">
        <f t="shared" si="7"/>
        <v>2.6713662988805648E-2</v>
      </c>
      <c r="Q21" s="88">
        <f t="shared" si="7"/>
        <v>2.6713662988805648E-2</v>
      </c>
      <c r="R21" s="39"/>
      <c r="S21" s="4">
        <v>14</v>
      </c>
    </row>
    <row r="22" spans="1:19">
      <c r="A22" s="86" t="s">
        <v>6</v>
      </c>
      <c r="B22" s="88">
        <f t="shared" si="1"/>
        <v>8.0140988966416943E-2</v>
      </c>
      <c r="F22" s="88">
        <f>F17/F16</f>
        <v>1.8352620830496935E-2</v>
      </c>
      <c r="G22" s="88">
        <f t="shared" ref="G22:Q22" si="8">G17/G16</f>
        <v>2.0158838211935558E-2</v>
      </c>
      <c r="H22" s="88">
        <f t="shared" si="8"/>
        <v>3.0511251955222737E-2</v>
      </c>
      <c r="I22" s="88">
        <f t="shared" si="8"/>
        <v>8.0140988966416943E-2</v>
      </c>
      <c r="J22" s="88">
        <f t="shared" si="8"/>
        <v>6.4112791173133551E-2</v>
      </c>
      <c r="K22" s="88">
        <f t="shared" si="8"/>
        <v>5.3427325977611295E-2</v>
      </c>
      <c r="L22" s="88">
        <f t="shared" si="8"/>
        <v>4.5794850837952539E-2</v>
      </c>
      <c r="M22" s="88">
        <f t="shared" si="8"/>
        <v>4.0070494483208471E-2</v>
      </c>
      <c r="N22" s="88">
        <f t="shared" si="8"/>
        <v>3.561821731840753E-2</v>
      </c>
      <c r="O22" s="88">
        <f t="shared" si="8"/>
        <v>3.2056395586566776E-2</v>
      </c>
      <c r="P22" s="88">
        <f t="shared" si="8"/>
        <v>2.9142177805969796E-2</v>
      </c>
      <c r="Q22" s="88">
        <f t="shared" si="8"/>
        <v>2.6713662988805648E-2</v>
      </c>
      <c r="R22" s="39"/>
      <c r="S22" s="4">
        <v>15</v>
      </c>
    </row>
    <row r="23" spans="1:19">
      <c r="A23" s="61" t="s">
        <v>76</v>
      </c>
      <c r="B23" s="59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34"/>
      <c r="S23" s="4">
        <v>16</v>
      </c>
    </row>
    <row r="24" spans="1:19">
      <c r="A24" s="86" t="s">
        <v>82</v>
      </c>
      <c r="B24" s="19">
        <f>HLOOKUP($B$7,$F$8:$Q$74,S24,FALSE)</f>
        <v>0</v>
      </c>
      <c r="F24" s="21">
        <f>F12</f>
        <v>0</v>
      </c>
      <c r="G24" s="21">
        <f t="shared" ref="G24:Q24" si="9">F24+G12</f>
        <v>0</v>
      </c>
      <c r="H24" s="21">
        <f t="shared" si="9"/>
        <v>0</v>
      </c>
      <c r="I24" s="21">
        <f t="shared" si="9"/>
        <v>0</v>
      </c>
      <c r="J24" s="21">
        <f t="shared" si="9"/>
        <v>0</v>
      </c>
      <c r="K24" s="21">
        <f t="shared" si="9"/>
        <v>0</v>
      </c>
      <c r="L24" s="21">
        <f t="shared" si="9"/>
        <v>0</v>
      </c>
      <c r="M24" s="21">
        <f t="shared" si="9"/>
        <v>0</v>
      </c>
      <c r="N24" s="21">
        <f t="shared" si="9"/>
        <v>0</v>
      </c>
      <c r="O24" s="21">
        <f t="shared" si="9"/>
        <v>0</v>
      </c>
      <c r="P24" s="21">
        <f t="shared" si="9"/>
        <v>0</v>
      </c>
      <c r="Q24" s="21">
        <f t="shared" si="9"/>
        <v>0</v>
      </c>
      <c r="R24" s="34"/>
      <c r="S24" s="4">
        <v>17</v>
      </c>
    </row>
    <row r="25" spans="1:19">
      <c r="A25" s="86" t="s">
        <v>14</v>
      </c>
      <c r="B25" s="19">
        <f>HLOOKUP($B$7,$F$8:$Q$74,S25,FALSE)</f>
        <v>0</v>
      </c>
      <c r="E25" s="20" t="s">
        <v>30</v>
      </c>
      <c r="F25" s="7">
        <v>0</v>
      </c>
      <c r="G25" s="7">
        <v>0</v>
      </c>
      <c r="H25" s="7">
        <v>0</v>
      </c>
      <c r="I25" s="7">
        <v>0</v>
      </c>
      <c r="J25" s="7"/>
      <c r="K25" s="7"/>
      <c r="L25" s="7"/>
      <c r="M25" s="7"/>
      <c r="N25" s="7"/>
      <c r="O25" s="7"/>
      <c r="P25" s="7"/>
      <c r="Q25" s="7"/>
      <c r="R25" s="34"/>
      <c r="S25" s="4">
        <v>18</v>
      </c>
    </row>
    <row r="26" spans="1:19">
      <c r="A26" s="89" t="s">
        <v>47</v>
      </c>
      <c r="B26" s="51">
        <f>HLOOKUP($B$7,$F$8:$Q$74,S26,FALSE)</f>
        <v>0</v>
      </c>
      <c r="C26" s="92"/>
      <c r="D26" s="92"/>
      <c r="E26" s="92"/>
      <c r="F26" s="26">
        <f>F24+F25</f>
        <v>0</v>
      </c>
      <c r="G26" s="26">
        <f>G24+G25</f>
        <v>0</v>
      </c>
      <c r="H26" s="26">
        <f t="shared" ref="H26:Q26" si="10">H24+H25</f>
        <v>0</v>
      </c>
      <c r="I26" s="26">
        <f t="shared" si="10"/>
        <v>0</v>
      </c>
      <c r="J26" s="26">
        <f t="shared" si="10"/>
        <v>0</v>
      </c>
      <c r="K26" s="26">
        <f t="shared" si="10"/>
        <v>0</v>
      </c>
      <c r="L26" s="26">
        <f t="shared" si="10"/>
        <v>0</v>
      </c>
      <c r="M26" s="26">
        <f t="shared" si="10"/>
        <v>0</v>
      </c>
      <c r="N26" s="26">
        <f t="shared" si="10"/>
        <v>0</v>
      </c>
      <c r="O26" s="26">
        <f t="shared" si="10"/>
        <v>0</v>
      </c>
      <c r="P26" s="26">
        <f t="shared" si="10"/>
        <v>0</v>
      </c>
      <c r="Q26" s="26">
        <f t="shared" si="10"/>
        <v>0</v>
      </c>
      <c r="R26" s="34"/>
      <c r="S26" s="4">
        <v>19</v>
      </c>
    </row>
    <row r="27" spans="1:19">
      <c r="A27" s="61" t="s">
        <v>77</v>
      </c>
      <c r="B27" s="5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34"/>
      <c r="S27" s="4">
        <v>20</v>
      </c>
    </row>
    <row r="28" spans="1:19">
      <c r="A28" s="86" t="s">
        <v>83</v>
      </c>
      <c r="B28" s="75">
        <f>HLOOKUP($B$7,$F$8:$Q$74,S28,FALSE)</f>
        <v>0</v>
      </c>
      <c r="F28" s="74">
        <f>F13</f>
        <v>0</v>
      </c>
      <c r="G28" s="74">
        <f t="shared" ref="G28:Q28" si="11">F28+G13</f>
        <v>0</v>
      </c>
      <c r="H28" s="74">
        <f t="shared" si="11"/>
        <v>0</v>
      </c>
      <c r="I28" s="74">
        <f t="shared" si="11"/>
        <v>0</v>
      </c>
      <c r="J28" s="74">
        <f t="shared" si="11"/>
        <v>0</v>
      </c>
      <c r="K28" s="74">
        <f t="shared" si="11"/>
        <v>0</v>
      </c>
      <c r="L28" s="74">
        <f t="shared" si="11"/>
        <v>0</v>
      </c>
      <c r="M28" s="74">
        <f t="shared" si="11"/>
        <v>0</v>
      </c>
      <c r="N28" s="74">
        <f t="shared" si="11"/>
        <v>0</v>
      </c>
      <c r="O28" s="74">
        <f t="shared" si="11"/>
        <v>0</v>
      </c>
      <c r="P28" s="74">
        <f t="shared" si="11"/>
        <v>0</v>
      </c>
      <c r="Q28" s="74">
        <f t="shared" si="11"/>
        <v>0</v>
      </c>
      <c r="R28" s="28"/>
      <c r="S28" s="4">
        <v>21</v>
      </c>
    </row>
    <row r="29" spans="1:19">
      <c r="A29" s="86" t="s">
        <v>15</v>
      </c>
      <c r="B29" s="75">
        <f>HLOOKUP($B$7,$F$8:$Q$74,S29,FALSE)</f>
        <v>0</v>
      </c>
      <c r="E29" s="20" t="s">
        <v>30</v>
      </c>
      <c r="F29" s="77">
        <v>0</v>
      </c>
      <c r="G29" s="77">
        <v>0</v>
      </c>
      <c r="H29" s="77">
        <v>0</v>
      </c>
      <c r="I29" s="77">
        <v>0</v>
      </c>
      <c r="J29" s="77"/>
      <c r="K29" s="77"/>
      <c r="L29" s="77"/>
      <c r="M29" s="77"/>
      <c r="N29" s="77"/>
      <c r="O29" s="77"/>
      <c r="P29" s="77"/>
      <c r="Q29" s="77"/>
      <c r="R29" s="28"/>
      <c r="S29" s="4">
        <v>22</v>
      </c>
    </row>
    <row r="30" spans="1:19">
      <c r="A30" s="89" t="s">
        <v>26</v>
      </c>
      <c r="B30" s="83">
        <f>HLOOKUP($B$7,$F$8:$Q$74,S30,FALSE)</f>
        <v>0</v>
      </c>
      <c r="C30" s="92"/>
      <c r="D30" s="92"/>
      <c r="E30" s="92"/>
      <c r="F30" s="94">
        <f>F28+F29</f>
        <v>0</v>
      </c>
      <c r="G30" s="94">
        <f>G28+G29</f>
        <v>0</v>
      </c>
      <c r="H30" s="94">
        <f t="shared" ref="H30:Q30" si="12">H28+H29</f>
        <v>0</v>
      </c>
      <c r="I30" s="94">
        <f t="shared" si="12"/>
        <v>0</v>
      </c>
      <c r="J30" s="94">
        <f t="shared" si="12"/>
        <v>0</v>
      </c>
      <c r="K30" s="94">
        <f t="shared" si="12"/>
        <v>0</v>
      </c>
      <c r="L30" s="94">
        <f t="shared" si="12"/>
        <v>0</v>
      </c>
      <c r="M30" s="94">
        <f t="shared" si="12"/>
        <v>0</v>
      </c>
      <c r="N30" s="94">
        <f t="shared" si="12"/>
        <v>0</v>
      </c>
      <c r="O30" s="94">
        <f t="shared" si="12"/>
        <v>0</v>
      </c>
      <c r="P30" s="94">
        <f t="shared" si="12"/>
        <v>0</v>
      </c>
      <c r="Q30" s="94">
        <f t="shared" si="12"/>
        <v>0</v>
      </c>
      <c r="R30" s="28"/>
      <c r="S30" s="4">
        <v>23</v>
      </c>
    </row>
    <row r="31" spans="1:19">
      <c r="A31" s="61" t="s">
        <v>94</v>
      </c>
      <c r="B31" s="59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34"/>
      <c r="S31" s="4">
        <v>24</v>
      </c>
    </row>
    <row r="32" spans="1:19">
      <c r="A32" s="90" t="s">
        <v>50</v>
      </c>
      <c r="B32" s="49">
        <f t="shared" ref="B32:B40" si="13">HLOOKUP($B$7,$F$8:$Q$74,S32,FALSE)</f>
        <v>10806.729999999998</v>
      </c>
      <c r="E32" s="20" t="s">
        <v>28</v>
      </c>
      <c r="F32" s="9">
        <v>1600.21</v>
      </c>
      <c r="G32" s="9">
        <v>22867.18</v>
      </c>
      <c r="H32" s="9">
        <v>6976.74</v>
      </c>
      <c r="I32" s="9">
        <v>10806.729999999998</v>
      </c>
      <c r="J32" s="9"/>
      <c r="K32" s="9"/>
      <c r="L32" s="9"/>
      <c r="M32" s="9"/>
      <c r="N32" s="9"/>
      <c r="O32" s="9"/>
      <c r="P32" s="9"/>
      <c r="Q32" s="9"/>
      <c r="R32" s="85">
        <f>SUM(F32:Q32)</f>
        <v>42250.859999999993</v>
      </c>
      <c r="S32" s="4">
        <v>25</v>
      </c>
    </row>
    <row r="33" spans="1:19">
      <c r="A33" s="90" t="s">
        <v>51</v>
      </c>
      <c r="B33" s="49">
        <f t="shared" si="13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ref="R33:R37" si="14">SUM(F33:Q33)</f>
        <v>0</v>
      </c>
      <c r="S33" s="4">
        <v>26</v>
      </c>
    </row>
    <row r="34" spans="1:19">
      <c r="A34" s="90" t="s">
        <v>52</v>
      </c>
      <c r="B34" s="49">
        <f t="shared" si="13"/>
        <v>16190.45</v>
      </c>
      <c r="E34" s="20" t="s">
        <v>28</v>
      </c>
      <c r="F34" s="9">
        <v>0</v>
      </c>
      <c r="G34" s="9">
        <v>0</v>
      </c>
      <c r="H34" s="9">
        <v>19078.32</v>
      </c>
      <c r="I34" s="9">
        <v>16190.45</v>
      </c>
      <c r="J34" s="9"/>
      <c r="K34" s="9"/>
      <c r="L34" s="9"/>
      <c r="M34" s="9"/>
      <c r="N34" s="9"/>
      <c r="O34" s="9"/>
      <c r="P34" s="9"/>
      <c r="Q34" s="9"/>
      <c r="R34" s="85">
        <f t="shared" si="14"/>
        <v>35268.770000000004</v>
      </c>
      <c r="S34" s="4">
        <v>27</v>
      </c>
    </row>
    <row r="35" spans="1:19">
      <c r="A35" s="90" t="s">
        <v>53</v>
      </c>
      <c r="B35" s="49">
        <f t="shared" si="13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4"/>
        <v>0</v>
      </c>
      <c r="S35" s="4">
        <v>28</v>
      </c>
    </row>
    <row r="36" spans="1:19">
      <c r="A36" s="90" t="s">
        <v>54</v>
      </c>
      <c r="B36" s="49">
        <f t="shared" si="13"/>
        <v>3625.5</v>
      </c>
      <c r="E36" s="20" t="s">
        <v>28</v>
      </c>
      <c r="F36" s="9">
        <v>0</v>
      </c>
      <c r="G36" s="9">
        <v>0</v>
      </c>
      <c r="H36" s="9">
        <v>3044.5</v>
      </c>
      <c r="I36" s="9">
        <v>3625.5</v>
      </c>
      <c r="J36" s="9"/>
      <c r="K36" s="9"/>
      <c r="L36" s="9"/>
      <c r="M36" s="9"/>
      <c r="N36" s="9"/>
      <c r="O36" s="9"/>
      <c r="P36" s="9"/>
      <c r="Q36" s="9"/>
      <c r="R36" s="85">
        <f t="shared" si="14"/>
        <v>6670</v>
      </c>
      <c r="S36" s="4">
        <v>29</v>
      </c>
    </row>
    <row r="37" spans="1:19">
      <c r="A37" s="90" t="s">
        <v>55</v>
      </c>
      <c r="B37" s="49">
        <f t="shared" si="13"/>
        <v>57690.6</v>
      </c>
      <c r="E37" s="20" t="s">
        <v>28</v>
      </c>
      <c r="F37" s="9">
        <v>0</v>
      </c>
      <c r="G37" s="9">
        <v>0</v>
      </c>
      <c r="H37" s="9">
        <v>26229.279999999999</v>
      </c>
      <c r="I37" s="9">
        <v>57690.6</v>
      </c>
      <c r="J37" s="9"/>
      <c r="K37" s="9"/>
      <c r="L37" s="9"/>
      <c r="M37" s="9"/>
      <c r="N37" s="9"/>
      <c r="O37" s="9"/>
      <c r="P37" s="9"/>
      <c r="Q37" s="9"/>
      <c r="R37" s="85">
        <f t="shared" si="14"/>
        <v>83919.88</v>
      </c>
      <c r="S37" s="4">
        <v>30</v>
      </c>
    </row>
    <row r="38" spans="1:19">
      <c r="A38" s="90" t="s">
        <v>56</v>
      </c>
      <c r="B38" s="49">
        <f t="shared" si="13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>SUM(F38:Q38)</f>
        <v>0</v>
      </c>
      <c r="S38" s="4">
        <v>31</v>
      </c>
    </row>
    <row r="39" spans="1:19">
      <c r="A39" s="90" t="s">
        <v>95</v>
      </c>
      <c r="B39" s="49">
        <f t="shared" si="13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>
        <f>SUM(F39:Q39)</f>
        <v>0</v>
      </c>
      <c r="S39" s="4">
        <v>32</v>
      </c>
    </row>
    <row r="40" spans="1:19">
      <c r="A40" s="91" t="s">
        <v>57</v>
      </c>
      <c r="B40" s="48">
        <f t="shared" si="13"/>
        <v>88313.279999999999</v>
      </c>
      <c r="C40" s="92"/>
      <c r="D40" s="92"/>
      <c r="E40" s="93"/>
      <c r="F40" s="36">
        <f>SUM(F32:F39)</f>
        <v>1600.21</v>
      </c>
      <c r="G40" s="36">
        <f t="shared" ref="G40:Q40" si="15">SUM(G32:G39)</f>
        <v>22867.18</v>
      </c>
      <c r="H40" s="36">
        <f t="shared" si="15"/>
        <v>55328.84</v>
      </c>
      <c r="I40" s="36">
        <f t="shared" si="15"/>
        <v>88313.279999999999</v>
      </c>
      <c r="J40" s="36">
        <f t="shared" si="15"/>
        <v>0</v>
      </c>
      <c r="K40" s="36">
        <f t="shared" si="15"/>
        <v>0</v>
      </c>
      <c r="L40" s="36">
        <f t="shared" si="15"/>
        <v>0</v>
      </c>
      <c r="M40" s="36">
        <f t="shared" si="15"/>
        <v>0</v>
      </c>
      <c r="N40" s="36">
        <f t="shared" si="15"/>
        <v>0</v>
      </c>
      <c r="O40" s="36">
        <f t="shared" si="15"/>
        <v>0</v>
      </c>
      <c r="P40" s="36">
        <f t="shared" si="15"/>
        <v>0</v>
      </c>
      <c r="Q40" s="36">
        <f t="shared" si="15"/>
        <v>0</v>
      </c>
      <c r="R40" s="66">
        <f>SUM(F40:Q40)</f>
        <v>168109.51</v>
      </c>
      <c r="S40" s="4">
        <v>33</v>
      </c>
    </row>
    <row r="41" spans="1:19">
      <c r="A41" s="61" t="s">
        <v>96</v>
      </c>
      <c r="B41" s="59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34"/>
      <c r="S41" s="4">
        <v>34</v>
      </c>
    </row>
    <row r="42" spans="1:19">
      <c r="A42" s="90" t="s">
        <v>100</v>
      </c>
      <c r="B42" s="49">
        <f>HLOOKUP($B$7,$F$8:$Q$74,S42,FALSE)</f>
        <v>1429.3393454924408</v>
      </c>
      <c r="E42" s="20" t="s">
        <v>30</v>
      </c>
      <c r="F42" s="9">
        <v>0</v>
      </c>
      <c r="G42" s="9">
        <v>293.29577357753345</v>
      </c>
      <c r="H42" s="9">
        <v>1485.1577283098336</v>
      </c>
      <c r="I42" s="9">
        <v>1429.3393454924408</v>
      </c>
      <c r="J42" s="9"/>
      <c r="K42" s="9"/>
      <c r="L42" s="9"/>
      <c r="M42" s="9"/>
      <c r="N42" s="9"/>
      <c r="O42" s="9"/>
      <c r="P42" s="9"/>
      <c r="Q42" s="9"/>
      <c r="R42" s="34"/>
      <c r="S42" s="4">
        <v>35</v>
      </c>
    </row>
    <row r="43" spans="1:19">
      <c r="A43" s="90" t="s">
        <v>101</v>
      </c>
      <c r="B43" s="49">
        <f t="shared" ref="B43:B49" si="16">HLOOKUP($B$7,$F$8:$Q$74,S43,FALSE)</f>
        <v>544.4449159116748</v>
      </c>
      <c r="E43" s="20" t="s">
        <v>30</v>
      </c>
      <c r="F43" s="9">
        <v>0</v>
      </c>
      <c r="G43" s="9">
        <v>113.85325510202648</v>
      </c>
      <c r="H43" s="9">
        <v>566.55858791353069</v>
      </c>
      <c r="I43" s="9">
        <v>544.4449159116748</v>
      </c>
      <c r="J43" s="9"/>
      <c r="K43" s="9"/>
      <c r="L43" s="9"/>
      <c r="M43" s="9"/>
      <c r="N43" s="9"/>
      <c r="O43" s="9"/>
      <c r="P43" s="9"/>
      <c r="Q43" s="9"/>
      <c r="R43" s="34"/>
      <c r="S43" s="4">
        <v>36</v>
      </c>
    </row>
    <row r="44" spans="1:19">
      <c r="A44" s="90" t="s">
        <v>102</v>
      </c>
      <c r="B44" s="49">
        <f t="shared" si="16"/>
        <v>1711.001755744624</v>
      </c>
      <c r="E44" s="20" t="s">
        <v>30</v>
      </c>
      <c r="F44" s="9">
        <v>0</v>
      </c>
      <c r="G44" s="9">
        <v>345.03823092376655</v>
      </c>
      <c r="H44" s="9">
        <v>1765.5612921006002</v>
      </c>
      <c r="I44" s="9">
        <v>1711.001755744624</v>
      </c>
      <c r="J44" s="9"/>
      <c r="K44" s="9"/>
      <c r="L44" s="9"/>
      <c r="M44" s="9"/>
      <c r="N44" s="9"/>
      <c r="O44" s="9"/>
      <c r="P44" s="9"/>
      <c r="Q44" s="9"/>
      <c r="R44" s="34"/>
      <c r="S44" s="4">
        <v>37</v>
      </c>
    </row>
    <row r="45" spans="1:19">
      <c r="A45" s="90" t="s">
        <v>103</v>
      </c>
      <c r="B45" s="49">
        <f t="shared" si="16"/>
        <v>222.44734257335503</v>
      </c>
      <c r="E45" s="20" t="s">
        <v>30</v>
      </c>
      <c r="F45" s="9">
        <v>0</v>
      </c>
      <c r="G45" s="9">
        <v>0</v>
      </c>
      <c r="H45" s="9">
        <v>0</v>
      </c>
      <c r="I45" s="9">
        <v>222.44734257335503</v>
      </c>
      <c r="J45" s="9"/>
      <c r="K45" s="9"/>
      <c r="L45" s="9"/>
      <c r="M45" s="9"/>
      <c r="N45" s="9"/>
      <c r="O45" s="9"/>
      <c r="P45" s="9"/>
      <c r="Q45" s="9"/>
      <c r="R45" s="34"/>
      <c r="S45" s="4">
        <v>38</v>
      </c>
    </row>
    <row r="46" spans="1:19">
      <c r="A46" s="90" t="s">
        <v>104</v>
      </c>
      <c r="B46" s="49">
        <f t="shared" si="16"/>
        <v>9843.4221558269455</v>
      </c>
      <c r="E46" s="20" t="s">
        <v>30</v>
      </c>
      <c r="F46" s="9">
        <v>0</v>
      </c>
      <c r="G46" s="9">
        <v>1653.888977924953</v>
      </c>
      <c r="H46" s="9">
        <v>10148.881623975423</v>
      </c>
      <c r="I46" s="9">
        <v>9843.4221558269455</v>
      </c>
      <c r="J46" s="9"/>
      <c r="K46" s="9"/>
      <c r="L46" s="9"/>
      <c r="M46" s="9"/>
      <c r="N46" s="9"/>
      <c r="O46" s="9"/>
      <c r="P46" s="9"/>
      <c r="Q46" s="9"/>
      <c r="R46" s="34"/>
      <c r="S46" s="4">
        <v>39</v>
      </c>
    </row>
    <row r="47" spans="1:19">
      <c r="A47" s="90" t="s">
        <v>105</v>
      </c>
      <c r="B47" s="49">
        <f t="shared" si="16"/>
        <v>5268.1703224350504</v>
      </c>
      <c r="E47" s="20" t="s">
        <v>30</v>
      </c>
      <c r="F47" s="9">
        <v>0</v>
      </c>
      <c r="G47" s="9">
        <v>992.0834194426468</v>
      </c>
      <c r="H47" s="9">
        <v>5377.0120124657979</v>
      </c>
      <c r="I47" s="9">
        <v>5268.1703224350504</v>
      </c>
      <c r="J47" s="9"/>
      <c r="K47" s="9"/>
      <c r="L47" s="9"/>
      <c r="M47" s="9"/>
      <c r="N47" s="9"/>
      <c r="O47" s="9"/>
      <c r="P47" s="9"/>
      <c r="Q47" s="9"/>
      <c r="R47" s="34"/>
      <c r="S47" s="4">
        <v>40</v>
      </c>
    </row>
    <row r="48" spans="1:19">
      <c r="A48" s="90" t="s">
        <v>106</v>
      </c>
      <c r="B48" s="49">
        <f t="shared" si="16"/>
        <v>293.43084391557994</v>
      </c>
      <c r="E48" s="20" t="s">
        <v>30</v>
      </c>
      <c r="F48" s="9">
        <v>0</v>
      </c>
      <c r="G48" s="9">
        <v>0</v>
      </c>
      <c r="H48" s="9">
        <v>300.42297177541593</v>
      </c>
      <c r="I48" s="9">
        <v>293.43084391557994</v>
      </c>
      <c r="J48" s="9"/>
      <c r="K48" s="9"/>
      <c r="L48" s="9"/>
      <c r="M48" s="9"/>
      <c r="N48" s="9"/>
      <c r="O48" s="9"/>
      <c r="P48" s="9"/>
      <c r="Q48" s="9"/>
      <c r="R48" s="34"/>
      <c r="S48" s="4">
        <v>41</v>
      </c>
    </row>
    <row r="49" spans="1:19">
      <c r="A49" s="90" t="s">
        <v>107</v>
      </c>
      <c r="B49" s="49">
        <f t="shared" si="16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34"/>
      <c r="S49" s="4">
        <v>42</v>
      </c>
    </row>
    <row r="50" spans="1:19">
      <c r="A50" s="61" t="s">
        <v>78</v>
      </c>
      <c r="B50" s="59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34"/>
      <c r="S50" s="4">
        <v>43</v>
      </c>
    </row>
    <row r="51" spans="1:19">
      <c r="A51" s="1" t="s">
        <v>71</v>
      </c>
      <c r="B51" s="33">
        <f t="shared" ref="B51:B58" si="17">HLOOKUP($B$7,$F$8:$Q$74,S51,FALSE)</f>
        <v>5986359</v>
      </c>
      <c r="F51" s="32">
        <f>$F$4+$F$5</f>
        <v>5986359</v>
      </c>
      <c r="G51" s="32">
        <f t="shared" ref="G51:Q51" si="18">$F$4+$F$5</f>
        <v>5986359</v>
      </c>
      <c r="H51" s="32">
        <f t="shared" si="18"/>
        <v>5986359</v>
      </c>
      <c r="I51" s="32">
        <f t="shared" si="18"/>
        <v>5986359</v>
      </c>
      <c r="J51" s="32">
        <f t="shared" si="18"/>
        <v>5986359</v>
      </c>
      <c r="K51" s="32">
        <f t="shared" si="18"/>
        <v>5986359</v>
      </c>
      <c r="L51" s="32">
        <f t="shared" si="18"/>
        <v>5986359</v>
      </c>
      <c r="M51" s="32">
        <f t="shared" si="18"/>
        <v>5986359</v>
      </c>
      <c r="N51" s="32">
        <f t="shared" si="18"/>
        <v>5986359</v>
      </c>
      <c r="O51" s="32">
        <f t="shared" si="18"/>
        <v>5986359</v>
      </c>
      <c r="P51" s="32">
        <f t="shared" si="18"/>
        <v>5986359</v>
      </c>
      <c r="Q51" s="32">
        <f t="shared" si="18"/>
        <v>5986359</v>
      </c>
      <c r="R51" s="62"/>
      <c r="S51" s="4">
        <v>44</v>
      </c>
    </row>
    <row r="52" spans="1:19">
      <c r="A52" s="1" t="s">
        <v>72</v>
      </c>
      <c r="B52" s="33">
        <f t="shared" si="17"/>
        <v>1995453</v>
      </c>
      <c r="F52" s="33">
        <f t="shared" ref="F52:Q52" si="19">F51*(F9/12)</f>
        <v>498863.25</v>
      </c>
      <c r="G52" s="33">
        <f t="shared" si="19"/>
        <v>997726.5</v>
      </c>
      <c r="H52" s="33">
        <f t="shared" si="19"/>
        <v>1496589.75</v>
      </c>
      <c r="I52" s="33">
        <f t="shared" si="19"/>
        <v>1995453</v>
      </c>
      <c r="J52" s="33">
        <f t="shared" si="19"/>
        <v>2494316.25</v>
      </c>
      <c r="K52" s="33">
        <f t="shared" si="19"/>
        <v>2993179.5</v>
      </c>
      <c r="L52" s="33">
        <f t="shared" si="19"/>
        <v>3492042.75</v>
      </c>
      <c r="M52" s="33">
        <f t="shared" si="19"/>
        <v>3990906</v>
      </c>
      <c r="N52" s="33">
        <f t="shared" si="19"/>
        <v>4489769.25</v>
      </c>
      <c r="O52" s="33">
        <f t="shared" si="19"/>
        <v>4988632.5</v>
      </c>
      <c r="P52" s="33">
        <f t="shared" si="19"/>
        <v>5487495.75</v>
      </c>
      <c r="Q52" s="33">
        <f t="shared" si="19"/>
        <v>5986359</v>
      </c>
      <c r="R52" s="34"/>
      <c r="S52" s="4">
        <v>45</v>
      </c>
    </row>
    <row r="53" spans="1:19">
      <c r="A53" s="86" t="s">
        <v>67</v>
      </c>
      <c r="B53" s="49">
        <f t="shared" si="17"/>
        <v>168109.51</v>
      </c>
      <c r="F53" s="37">
        <f>SUM(F32:F38)</f>
        <v>1600.21</v>
      </c>
      <c r="G53" s="37">
        <f t="shared" ref="G53:Q53" si="20">F53+G40</f>
        <v>24467.39</v>
      </c>
      <c r="H53" s="37">
        <f t="shared" si="20"/>
        <v>79796.23</v>
      </c>
      <c r="I53" s="37">
        <f t="shared" si="20"/>
        <v>168109.51</v>
      </c>
      <c r="J53" s="37">
        <f t="shared" si="20"/>
        <v>168109.51</v>
      </c>
      <c r="K53" s="37">
        <f t="shared" si="20"/>
        <v>168109.51</v>
      </c>
      <c r="L53" s="37">
        <f t="shared" si="20"/>
        <v>168109.51</v>
      </c>
      <c r="M53" s="37">
        <f t="shared" si="20"/>
        <v>168109.51</v>
      </c>
      <c r="N53" s="37">
        <f t="shared" si="20"/>
        <v>168109.51</v>
      </c>
      <c r="O53" s="37">
        <f t="shared" si="20"/>
        <v>168109.51</v>
      </c>
      <c r="P53" s="37">
        <f t="shared" si="20"/>
        <v>168109.51</v>
      </c>
      <c r="Q53" s="37">
        <f t="shared" si="20"/>
        <v>168109.51</v>
      </c>
      <c r="R53" s="38"/>
      <c r="S53" s="4">
        <v>46</v>
      </c>
    </row>
    <row r="54" spans="1:19">
      <c r="A54" s="86" t="s">
        <v>97</v>
      </c>
      <c r="B54" s="49">
        <f t="shared" si="17"/>
        <v>19312.256681899671</v>
      </c>
      <c r="E54" s="3"/>
      <c r="F54" s="37">
        <f>SUM(F42:F49)</f>
        <v>0</v>
      </c>
      <c r="G54" s="37">
        <f t="shared" ref="G54:Q54" si="21">SUM(G42:G49)</f>
        <v>3398.1596569709263</v>
      </c>
      <c r="H54" s="37">
        <f t="shared" si="21"/>
        <v>19643.594216540601</v>
      </c>
      <c r="I54" s="37">
        <f t="shared" si="21"/>
        <v>19312.256681899671</v>
      </c>
      <c r="J54" s="37">
        <f t="shared" si="21"/>
        <v>0</v>
      </c>
      <c r="K54" s="37">
        <f t="shared" si="21"/>
        <v>0</v>
      </c>
      <c r="L54" s="37">
        <f t="shared" si="21"/>
        <v>0</v>
      </c>
      <c r="M54" s="37">
        <f t="shared" si="21"/>
        <v>0</v>
      </c>
      <c r="N54" s="37">
        <f t="shared" si="21"/>
        <v>0</v>
      </c>
      <c r="O54" s="37">
        <f t="shared" si="21"/>
        <v>0</v>
      </c>
      <c r="P54" s="37">
        <f t="shared" si="21"/>
        <v>0</v>
      </c>
      <c r="Q54" s="37">
        <f t="shared" si="21"/>
        <v>0</v>
      </c>
      <c r="R54" s="38"/>
      <c r="S54" s="4">
        <v>47</v>
      </c>
    </row>
    <row r="55" spans="1:19">
      <c r="A55" s="91" t="s">
        <v>68</v>
      </c>
      <c r="B55" s="48">
        <f t="shared" si="17"/>
        <v>187421.76668189967</v>
      </c>
      <c r="C55" s="92"/>
      <c r="D55" s="92"/>
      <c r="E55" s="93"/>
      <c r="F55" s="36">
        <f>F53+F54</f>
        <v>1600.21</v>
      </c>
      <c r="G55" s="36">
        <f t="shared" ref="G55:Q55" si="22">G53+G54</f>
        <v>27865.549656970925</v>
      </c>
      <c r="H55" s="36">
        <f t="shared" si="22"/>
        <v>99439.824216540597</v>
      </c>
      <c r="I55" s="36">
        <f t="shared" si="22"/>
        <v>187421.76668189967</v>
      </c>
      <c r="J55" s="36">
        <f t="shared" si="22"/>
        <v>168109.51</v>
      </c>
      <c r="K55" s="36">
        <f t="shared" si="22"/>
        <v>168109.51</v>
      </c>
      <c r="L55" s="36">
        <f>L53+L54</f>
        <v>168109.51</v>
      </c>
      <c r="M55" s="36">
        <f t="shared" si="22"/>
        <v>168109.51</v>
      </c>
      <c r="N55" s="36">
        <f t="shared" si="22"/>
        <v>168109.51</v>
      </c>
      <c r="O55" s="36">
        <f t="shared" si="22"/>
        <v>168109.51</v>
      </c>
      <c r="P55" s="36">
        <f t="shared" si="22"/>
        <v>168109.51</v>
      </c>
      <c r="Q55" s="36">
        <f t="shared" si="22"/>
        <v>168109.51</v>
      </c>
      <c r="R55" s="38"/>
      <c r="S55" s="4">
        <v>48</v>
      </c>
    </row>
    <row r="56" spans="1:19">
      <c r="A56" s="86" t="s">
        <v>84</v>
      </c>
      <c r="B56" s="88">
        <f t="shared" si="17"/>
        <v>2.8082096312633441E-2</v>
      </c>
      <c r="F56" s="88">
        <f>F53/F51</f>
        <v>2.6730939457523346E-4</v>
      </c>
      <c r="G56" s="88">
        <f t="shared" ref="G56:Q56" si="23">G53/G51</f>
        <v>4.0871905610739348E-3</v>
      </c>
      <c r="H56" s="88">
        <f t="shared" si="23"/>
        <v>1.3329676686613683E-2</v>
      </c>
      <c r="I56" s="88">
        <f t="shared" si="23"/>
        <v>2.8082096312633441E-2</v>
      </c>
      <c r="J56" s="88">
        <f t="shared" si="23"/>
        <v>2.8082096312633441E-2</v>
      </c>
      <c r="K56" s="88">
        <f t="shared" si="23"/>
        <v>2.8082096312633441E-2</v>
      </c>
      <c r="L56" s="88">
        <f>L53/L51</f>
        <v>2.8082096312633441E-2</v>
      </c>
      <c r="M56" s="88">
        <f t="shared" si="23"/>
        <v>2.8082096312633441E-2</v>
      </c>
      <c r="N56" s="88">
        <f t="shared" si="23"/>
        <v>2.8082096312633441E-2</v>
      </c>
      <c r="O56" s="88">
        <f t="shared" si="23"/>
        <v>2.8082096312633441E-2</v>
      </c>
      <c r="P56" s="88">
        <f t="shared" si="23"/>
        <v>2.8082096312633441E-2</v>
      </c>
      <c r="Q56" s="88">
        <f t="shared" si="23"/>
        <v>2.8082096312633441E-2</v>
      </c>
      <c r="R56" s="39"/>
      <c r="S56" s="4">
        <v>49</v>
      </c>
    </row>
    <row r="57" spans="1:19">
      <c r="A57" s="86" t="s">
        <v>85</v>
      </c>
      <c r="B57" s="88">
        <f t="shared" si="17"/>
        <v>3.1308140170327181E-2</v>
      </c>
      <c r="E57" s="57"/>
      <c r="F57" s="88">
        <f>F55/F51</f>
        <v>2.6730939457523346E-4</v>
      </c>
      <c r="G57" s="88">
        <f t="shared" ref="G57:Q57" si="24">G55/G51</f>
        <v>4.6548410573056054E-3</v>
      </c>
      <c r="H57" s="88">
        <f t="shared" si="24"/>
        <v>1.6611069302148534E-2</v>
      </c>
      <c r="I57" s="88">
        <f t="shared" si="24"/>
        <v>3.1308140170327181E-2</v>
      </c>
      <c r="J57" s="88">
        <f t="shared" si="24"/>
        <v>2.8082096312633441E-2</v>
      </c>
      <c r="K57" s="88">
        <f t="shared" si="24"/>
        <v>2.8082096312633441E-2</v>
      </c>
      <c r="L57" s="88">
        <f>L55/L51</f>
        <v>2.8082096312633441E-2</v>
      </c>
      <c r="M57" s="88">
        <f t="shared" si="24"/>
        <v>2.8082096312633441E-2</v>
      </c>
      <c r="N57" s="88">
        <f t="shared" si="24"/>
        <v>2.8082096312633441E-2</v>
      </c>
      <c r="O57" s="88">
        <f t="shared" si="24"/>
        <v>2.8082096312633441E-2</v>
      </c>
      <c r="P57" s="88">
        <f t="shared" si="24"/>
        <v>2.8082096312633441E-2</v>
      </c>
      <c r="Q57" s="88">
        <f t="shared" si="24"/>
        <v>2.8082096312633441E-2</v>
      </c>
      <c r="R57" s="39"/>
      <c r="S57" s="4">
        <v>50</v>
      </c>
    </row>
    <row r="58" spans="1:19">
      <c r="A58" s="86" t="s">
        <v>86</v>
      </c>
      <c r="B58" s="88">
        <f t="shared" si="17"/>
        <v>8.4246288937900315E-2</v>
      </c>
      <c r="F58" s="88">
        <f>F53/F52</f>
        <v>3.2077127349028015E-3</v>
      </c>
      <c r="G58" s="88">
        <f t="shared" ref="G58:Q58" si="25">G53/G52</f>
        <v>2.4523143366443609E-2</v>
      </c>
      <c r="H58" s="88">
        <f t="shared" si="25"/>
        <v>5.3318706746454732E-2</v>
      </c>
      <c r="I58" s="88">
        <f t="shared" si="25"/>
        <v>8.4246288937900315E-2</v>
      </c>
      <c r="J58" s="88">
        <f t="shared" si="25"/>
        <v>6.7397031150320252E-2</v>
      </c>
      <c r="K58" s="88">
        <f t="shared" si="25"/>
        <v>5.6164192625266882E-2</v>
      </c>
      <c r="L58" s="88">
        <f t="shared" si="25"/>
        <v>4.8140736535943043E-2</v>
      </c>
      <c r="M58" s="88">
        <f t="shared" si="25"/>
        <v>4.2123144468950158E-2</v>
      </c>
      <c r="N58" s="88">
        <f t="shared" si="25"/>
        <v>3.7442795083511254E-2</v>
      </c>
      <c r="O58" s="88">
        <f t="shared" si="25"/>
        <v>3.3698515575160126E-2</v>
      </c>
      <c r="P58" s="88">
        <f t="shared" si="25"/>
        <v>3.063501415923648E-2</v>
      </c>
      <c r="Q58" s="88">
        <f t="shared" si="25"/>
        <v>2.8082096312633441E-2</v>
      </c>
      <c r="R58" s="39"/>
      <c r="S58" s="4">
        <v>51</v>
      </c>
    </row>
    <row r="59" spans="1:19">
      <c r="A59" s="61" t="s">
        <v>63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39"/>
      <c r="S59" s="4">
        <v>52</v>
      </c>
    </row>
    <row r="60" spans="1:19">
      <c r="A60" s="1" t="s">
        <v>64</v>
      </c>
      <c r="B60" s="33">
        <f>HLOOKUP($B$7,$F$8:$Q$74,S60,FALSE)</f>
        <v>23945436</v>
      </c>
      <c r="F60" s="102">
        <f>SUM($F$4:$I$4)+$F$5</f>
        <v>23945436</v>
      </c>
      <c r="G60" s="102">
        <f t="shared" ref="G60:Q60" si="26">SUM($F$4:$I$4)+$F$5</f>
        <v>23945436</v>
      </c>
      <c r="H60" s="102">
        <f t="shared" si="26"/>
        <v>23945436</v>
      </c>
      <c r="I60" s="102">
        <f t="shared" si="26"/>
        <v>23945436</v>
      </c>
      <c r="J60" s="102">
        <f t="shared" si="26"/>
        <v>23945436</v>
      </c>
      <c r="K60" s="102">
        <f t="shared" si="26"/>
        <v>23945436</v>
      </c>
      <c r="L60" s="102">
        <f t="shared" si="26"/>
        <v>23945436</v>
      </c>
      <c r="M60" s="102">
        <f t="shared" si="26"/>
        <v>23945436</v>
      </c>
      <c r="N60" s="102">
        <f t="shared" si="26"/>
        <v>23945436</v>
      </c>
      <c r="O60" s="102">
        <f t="shared" si="26"/>
        <v>23945436</v>
      </c>
      <c r="P60" s="102">
        <f t="shared" si="26"/>
        <v>23945436</v>
      </c>
      <c r="Q60" s="102">
        <f t="shared" si="26"/>
        <v>23945436</v>
      </c>
      <c r="R60" s="39"/>
      <c r="S60" s="4">
        <v>53</v>
      </c>
    </row>
    <row r="61" spans="1:19">
      <c r="A61" s="86" t="s">
        <v>70</v>
      </c>
      <c r="B61" s="49">
        <f>HLOOKUP($B$7,$F$8:$Q$74,S61,FALSE)</f>
        <v>168109.51</v>
      </c>
      <c r="F61" s="101">
        <f>F53</f>
        <v>1600.21</v>
      </c>
      <c r="G61" s="101">
        <f t="shared" ref="G61:Q61" si="27">G53</f>
        <v>24467.39</v>
      </c>
      <c r="H61" s="101">
        <f t="shared" si="27"/>
        <v>79796.23</v>
      </c>
      <c r="I61" s="101">
        <f t="shared" si="27"/>
        <v>168109.51</v>
      </c>
      <c r="J61" s="101">
        <f t="shared" si="27"/>
        <v>168109.51</v>
      </c>
      <c r="K61" s="101">
        <f t="shared" si="27"/>
        <v>168109.51</v>
      </c>
      <c r="L61" s="101">
        <f t="shared" si="27"/>
        <v>168109.51</v>
      </c>
      <c r="M61" s="101">
        <f t="shared" si="27"/>
        <v>168109.51</v>
      </c>
      <c r="N61" s="101">
        <f t="shared" si="27"/>
        <v>168109.51</v>
      </c>
      <c r="O61" s="101">
        <f t="shared" si="27"/>
        <v>168109.51</v>
      </c>
      <c r="P61" s="101">
        <f t="shared" si="27"/>
        <v>168109.51</v>
      </c>
      <c r="Q61" s="101">
        <f t="shared" si="27"/>
        <v>168109.51</v>
      </c>
      <c r="R61" s="39"/>
      <c r="S61" s="4">
        <v>54</v>
      </c>
    </row>
    <row r="62" spans="1:19">
      <c r="A62" s="91" t="s">
        <v>69</v>
      </c>
      <c r="B62" s="48">
        <f>HLOOKUP($B$7,$F$8:$Q$74,S62,FALSE)</f>
        <v>187421.76668189967</v>
      </c>
      <c r="F62" s="35">
        <f>F61+F54</f>
        <v>1600.21</v>
      </c>
      <c r="G62" s="35">
        <f>G61+G54</f>
        <v>27865.549656970925</v>
      </c>
      <c r="H62" s="35">
        <f t="shared" ref="H62:Q62" si="28">H61+H54</f>
        <v>99439.824216540597</v>
      </c>
      <c r="I62" s="35">
        <f t="shared" si="28"/>
        <v>187421.76668189967</v>
      </c>
      <c r="J62" s="35">
        <f t="shared" si="28"/>
        <v>168109.51</v>
      </c>
      <c r="K62" s="35">
        <f t="shared" si="28"/>
        <v>168109.51</v>
      </c>
      <c r="L62" s="35">
        <f t="shared" si="28"/>
        <v>168109.51</v>
      </c>
      <c r="M62" s="35">
        <f t="shared" si="28"/>
        <v>168109.51</v>
      </c>
      <c r="N62" s="35">
        <f t="shared" si="28"/>
        <v>168109.51</v>
      </c>
      <c r="O62" s="35">
        <f t="shared" si="28"/>
        <v>168109.51</v>
      </c>
      <c r="P62" s="35">
        <f t="shared" si="28"/>
        <v>168109.51</v>
      </c>
      <c r="Q62" s="35">
        <f t="shared" si="28"/>
        <v>168109.51</v>
      </c>
      <c r="R62" s="39"/>
      <c r="S62" s="4">
        <v>55</v>
      </c>
    </row>
    <row r="63" spans="1:19">
      <c r="A63" s="86" t="s">
        <v>65</v>
      </c>
      <c r="B63" s="88">
        <f>HLOOKUP($B$7,$F$8:$Q$74,S63,FALSE)</f>
        <v>7.0205240781583602E-3</v>
      </c>
      <c r="F63" s="88">
        <f>F61/F60</f>
        <v>6.6827348643808365E-5</v>
      </c>
      <c r="G63" s="88">
        <f t="shared" ref="G63:Q63" si="29">G61/G60</f>
        <v>1.0217976402684837E-3</v>
      </c>
      <c r="H63" s="88">
        <f t="shared" si="29"/>
        <v>3.3324191716534207E-3</v>
      </c>
      <c r="I63" s="88">
        <f t="shared" si="29"/>
        <v>7.0205240781583602E-3</v>
      </c>
      <c r="J63" s="88">
        <f t="shared" si="29"/>
        <v>7.0205240781583602E-3</v>
      </c>
      <c r="K63" s="88">
        <f t="shared" si="29"/>
        <v>7.0205240781583602E-3</v>
      </c>
      <c r="L63" s="88">
        <f t="shared" si="29"/>
        <v>7.0205240781583602E-3</v>
      </c>
      <c r="M63" s="88">
        <f t="shared" si="29"/>
        <v>7.0205240781583602E-3</v>
      </c>
      <c r="N63" s="88">
        <f t="shared" si="29"/>
        <v>7.0205240781583602E-3</v>
      </c>
      <c r="O63" s="88">
        <f t="shared" si="29"/>
        <v>7.0205240781583602E-3</v>
      </c>
      <c r="P63" s="88">
        <f t="shared" si="29"/>
        <v>7.0205240781583602E-3</v>
      </c>
      <c r="Q63" s="88">
        <f t="shared" si="29"/>
        <v>7.0205240781583602E-3</v>
      </c>
      <c r="R63" s="39"/>
      <c r="S63" s="4">
        <v>56</v>
      </c>
    </row>
    <row r="64" spans="1:19">
      <c r="A64" s="86" t="s">
        <v>66</v>
      </c>
      <c r="B64" s="88">
        <f>HLOOKUP($B$7,$F$8:$Q$74,S64,FALSE)</f>
        <v>7.8270350425817953E-3</v>
      </c>
      <c r="F64" s="88">
        <f>F62/F60</f>
        <v>6.6827348643808365E-5</v>
      </c>
      <c r="G64" s="88">
        <f t="shared" ref="G64:Q64" si="30">G62/G60</f>
        <v>1.1637102643264014E-3</v>
      </c>
      <c r="H64" s="88">
        <f t="shared" si="30"/>
        <v>4.1527673255371336E-3</v>
      </c>
      <c r="I64" s="88">
        <f t="shared" si="30"/>
        <v>7.8270350425817953E-3</v>
      </c>
      <c r="J64" s="88">
        <f t="shared" si="30"/>
        <v>7.0205240781583602E-3</v>
      </c>
      <c r="K64" s="88">
        <f t="shared" si="30"/>
        <v>7.0205240781583602E-3</v>
      </c>
      <c r="L64" s="88">
        <f t="shared" si="30"/>
        <v>7.0205240781583602E-3</v>
      </c>
      <c r="M64" s="88">
        <f t="shared" si="30"/>
        <v>7.0205240781583602E-3</v>
      </c>
      <c r="N64" s="88">
        <f t="shared" si="30"/>
        <v>7.0205240781583602E-3</v>
      </c>
      <c r="O64" s="88">
        <f t="shared" si="30"/>
        <v>7.0205240781583602E-3</v>
      </c>
      <c r="P64" s="88">
        <f t="shared" si="30"/>
        <v>7.0205240781583602E-3</v>
      </c>
      <c r="Q64" s="88">
        <f t="shared" si="30"/>
        <v>7.0205240781583602E-3</v>
      </c>
      <c r="R64" s="39"/>
      <c r="S64" s="4">
        <v>57</v>
      </c>
    </row>
    <row r="65" spans="1:19">
      <c r="A65" s="61" t="s">
        <v>17</v>
      </c>
      <c r="B65" s="59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34"/>
      <c r="S65" s="4">
        <v>58</v>
      </c>
    </row>
    <row r="66" spans="1:19">
      <c r="A66" s="18" t="s">
        <v>18</v>
      </c>
      <c r="B66" s="40">
        <f>HLOOKUP($B$7,$F$8:$Q$74,S66,FALSE)</f>
        <v>0</v>
      </c>
      <c r="E66" s="20" t="s">
        <v>36</v>
      </c>
      <c r="F66" s="58">
        <v>0</v>
      </c>
      <c r="G66" s="58">
        <v>0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34"/>
      <c r="S66" s="4">
        <v>59</v>
      </c>
    </row>
    <row r="67" spans="1:19">
      <c r="A67" s="18" t="s">
        <v>19</v>
      </c>
      <c r="B67" s="40">
        <f>HLOOKUP($B$7,$F$8:$Q$74,S67,FALSE)</f>
        <v>0</v>
      </c>
      <c r="E67" s="20" t="s">
        <v>36</v>
      </c>
      <c r="F67" s="58">
        <v>0</v>
      </c>
      <c r="G67" s="58">
        <v>0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34"/>
      <c r="S67" s="4">
        <v>60</v>
      </c>
    </row>
    <row r="68" spans="1:19">
      <c r="A68" s="18" t="s">
        <v>20</v>
      </c>
      <c r="B68" s="40">
        <f>HLOOKUP($B$7,$F$8:$Q$74,S68,FALSE)</f>
        <v>0</v>
      </c>
      <c r="E68" s="20" t="s">
        <v>36</v>
      </c>
      <c r="F68" s="58">
        <v>0</v>
      </c>
      <c r="G68" s="58">
        <v>0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34"/>
      <c r="S68" s="4">
        <v>61</v>
      </c>
    </row>
    <row r="69" spans="1:19">
      <c r="A69" s="18" t="s">
        <v>21</v>
      </c>
      <c r="B69" s="40">
        <f>HLOOKUP($B$7,$F$8:$Q$74,S69,FALSE)</f>
        <v>0</v>
      </c>
      <c r="E69" s="20" t="s">
        <v>37</v>
      </c>
      <c r="F69" s="58">
        <v>0</v>
      </c>
      <c r="G69" s="58">
        <v>0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34"/>
      <c r="S69" s="4">
        <v>62</v>
      </c>
    </row>
    <row r="70" spans="1:19">
      <c r="A70" s="61" t="s">
        <v>8</v>
      </c>
      <c r="B70" s="59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34"/>
      <c r="S70" s="4">
        <v>63</v>
      </c>
    </row>
    <row r="71" spans="1:19">
      <c r="A71" s="18" t="s">
        <v>1</v>
      </c>
      <c r="B71" s="19">
        <f>HLOOKUP($B$7,$F$8:$Q$74,S71,FALSE)</f>
        <v>240</v>
      </c>
      <c r="E71" s="20" t="s">
        <v>30</v>
      </c>
      <c r="F71" s="7">
        <v>43</v>
      </c>
      <c r="G71" s="161">
        <v>76</v>
      </c>
      <c r="H71" s="7">
        <v>142</v>
      </c>
      <c r="I71" s="7">
        <v>240</v>
      </c>
      <c r="J71" s="7"/>
      <c r="K71" s="7"/>
      <c r="L71" s="7"/>
      <c r="M71" s="7"/>
      <c r="N71" s="7"/>
      <c r="O71" s="7"/>
      <c r="P71" s="7"/>
      <c r="Q71" s="7"/>
      <c r="R71" s="28"/>
      <c r="S71" s="4">
        <v>64</v>
      </c>
    </row>
    <row r="72" spans="1:19">
      <c r="A72" s="18" t="s">
        <v>38</v>
      </c>
      <c r="B72" s="19">
        <f>HLOOKUP($B$7,$F$8:$Q$74,S72,FALSE)</f>
        <v>240</v>
      </c>
      <c r="E72" s="20" t="s">
        <v>30</v>
      </c>
      <c r="F72" s="7">
        <v>43</v>
      </c>
      <c r="G72" s="161">
        <v>76</v>
      </c>
      <c r="H72" s="7">
        <v>142</v>
      </c>
      <c r="I72" s="7">
        <v>240</v>
      </c>
      <c r="J72" s="7"/>
      <c r="K72" s="7"/>
      <c r="L72" s="7"/>
      <c r="M72" s="7"/>
      <c r="N72" s="7"/>
      <c r="O72" s="7"/>
      <c r="P72" s="7"/>
      <c r="Q72" s="7"/>
      <c r="R72" s="28"/>
      <c r="S72" s="4">
        <v>65</v>
      </c>
    </row>
    <row r="73" spans="1:19" s="4" customFormat="1">
      <c r="A73" s="61" t="s">
        <v>32</v>
      </c>
      <c r="B73" s="59"/>
      <c r="C73" s="41"/>
      <c r="E73" s="41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34"/>
      <c r="S73" s="4">
        <v>66</v>
      </c>
    </row>
    <row r="74" spans="1:19" s="4" customFormat="1">
      <c r="A74" s="18" t="s">
        <v>46</v>
      </c>
      <c r="B74" s="19">
        <f>HLOOKUP($B$7,$F$8:$Q$74,S74,FALSE)</f>
        <v>0</v>
      </c>
      <c r="C74" s="52"/>
      <c r="D74" s="53"/>
      <c r="E74" s="54" t="s">
        <v>34</v>
      </c>
      <c r="F74" s="42">
        <v>0</v>
      </c>
      <c r="G74" s="42">
        <f>F74</f>
        <v>0</v>
      </c>
      <c r="H74" s="43">
        <f>G74</f>
        <v>0</v>
      </c>
      <c r="I74" s="42">
        <f>H74</f>
        <v>0</v>
      </c>
      <c r="J74" s="42">
        <f>H74</f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8"/>
      <c r="S74" s="4">
        <v>67</v>
      </c>
    </row>
    <row r="75" spans="1:19" s="168" customFormat="1" ht="15" customHeight="1">
      <c r="A75" s="165" t="s">
        <v>157</v>
      </c>
      <c r="B75" s="120">
        <f>HLOOKUP($B$7,$F$8:$Q$75,S75,FALSE)</f>
        <v>0</v>
      </c>
      <c r="C75" s="166"/>
      <c r="D75" s="166"/>
      <c r="E75" s="169" t="s">
        <v>34</v>
      </c>
      <c r="F75" s="119">
        <v>0</v>
      </c>
      <c r="G75" s="119">
        <v>0</v>
      </c>
      <c r="H75" s="118">
        <v>0</v>
      </c>
      <c r="I75" s="119">
        <f>H75</f>
        <v>0</v>
      </c>
      <c r="J75" s="119">
        <f>H75</f>
        <v>0</v>
      </c>
      <c r="K75" s="118"/>
      <c r="L75" s="119">
        <f>K75</f>
        <v>0</v>
      </c>
      <c r="M75" s="119">
        <f>K75</f>
        <v>0</v>
      </c>
      <c r="N75" s="118"/>
      <c r="O75" s="119">
        <f>N75</f>
        <v>0</v>
      </c>
      <c r="P75" s="119">
        <f>N75</f>
        <v>0</v>
      </c>
      <c r="Q75" s="118"/>
      <c r="R75" s="170"/>
      <c r="S75" s="168">
        <v>68</v>
      </c>
    </row>
    <row r="76" spans="1:19" s="4" customFormat="1" ht="15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</row>
    <row r="77" spans="1:19" s="4" customFormat="1">
      <c r="A77" s="72" t="s">
        <v>43</v>
      </c>
      <c r="B77" s="69"/>
      <c r="C77" s="41"/>
    </row>
    <row r="78" spans="1:19" s="4" customFormat="1">
      <c r="A78" s="61" t="s">
        <v>31</v>
      </c>
      <c r="B78" s="12"/>
      <c r="C78" s="41"/>
    </row>
    <row r="79" spans="1:19" s="4" customFormat="1">
      <c r="A79" s="112">
        <f>VLOOKUP(B7,E88:T99,2,FALSE)</f>
        <v>0</v>
      </c>
      <c r="B79" s="71"/>
      <c r="C79" s="41"/>
    </row>
    <row r="80" spans="1:19" s="4" customFormat="1">
      <c r="A80" s="61" t="s">
        <v>40</v>
      </c>
      <c r="B80" s="12"/>
      <c r="C80" s="41"/>
    </row>
    <row r="81" spans="1:20" s="4" customFormat="1">
      <c r="A81" s="84">
        <f>VLOOKUP(B7,E88:T99,6,FALSE)</f>
        <v>0</v>
      </c>
      <c r="B81" s="71"/>
      <c r="C81" s="41"/>
    </row>
    <row r="82" spans="1:20" s="4" customFormat="1">
      <c r="A82" s="61" t="s">
        <v>44</v>
      </c>
      <c r="B82" s="12"/>
      <c r="C82" s="41"/>
    </row>
    <row r="83" spans="1:20" s="4" customFormat="1">
      <c r="A83" s="84">
        <f>VLOOKUP(B7,E88:T99,10,FALSE)</f>
        <v>0</v>
      </c>
      <c r="B83" s="78"/>
      <c r="C83" s="41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172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1:20"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</row>
    <row r="87" spans="1:20"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5" t="s">
        <v>158</v>
      </c>
      <c r="S88" s="175"/>
      <c r="T88" s="175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5" t="s">
        <v>160</v>
      </c>
      <c r="S89" s="175"/>
      <c r="T89" s="175"/>
    </row>
    <row r="90" spans="1:20">
      <c r="D90" s="41"/>
      <c r="E90" s="14">
        <v>40969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5" t="s">
        <v>159</v>
      </c>
      <c r="S90" s="175"/>
      <c r="T90" s="175"/>
    </row>
    <row r="91" spans="1:20">
      <c r="D91" s="41"/>
      <c r="E91" s="14">
        <v>41000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5"/>
      <c r="S91" s="175"/>
      <c r="T91" s="175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5"/>
      <c r="S92" s="175"/>
      <c r="T92" s="175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5"/>
      <c r="S93" s="175"/>
      <c r="T93" s="175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5"/>
      <c r="S94" s="175"/>
      <c r="T94" s="175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5"/>
      <c r="S95" s="175"/>
      <c r="T95" s="175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5"/>
      <c r="S96" s="175"/>
      <c r="T96" s="175"/>
    </row>
    <row r="97" spans="4:20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5"/>
      <c r="S97" s="175"/>
      <c r="T97" s="175"/>
    </row>
    <row r="98" spans="4:20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5"/>
      <c r="S98" s="175"/>
      <c r="T98" s="175"/>
    </row>
    <row r="99" spans="4:20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5"/>
      <c r="S99" s="175"/>
      <c r="T99" s="175"/>
    </row>
    <row r="100" spans="4:20">
      <c r="F100" s="3"/>
    </row>
  </sheetData>
  <mergeCells count="54">
    <mergeCell ref="R97:T97"/>
    <mergeCell ref="R98:T98"/>
    <mergeCell ref="R99:T99"/>
    <mergeCell ref="R92:T92"/>
    <mergeCell ref="R93:T93"/>
    <mergeCell ref="R94:T94"/>
    <mergeCell ref="R95:T95"/>
    <mergeCell ref="R96:T96"/>
    <mergeCell ref="R87:T87"/>
    <mergeCell ref="R88:T88"/>
    <mergeCell ref="R89:T89"/>
    <mergeCell ref="R90:T90"/>
    <mergeCell ref="R91:T91"/>
    <mergeCell ref="D1:G1"/>
    <mergeCell ref="F96:I96"/>
    <mergeCell ref="F94:I94"/>
    <mergeCell ref="F92:I92"/>
    <mergeCell ref="F90:I90"/>
    <mergeCell ref="F88:I88"/>
    <mergeCell ref="D85:H85"/>
    <mergeCell ref="F87:I87"/>
    <mergeCell ref="F98:I98"/>
    <mergeCell ref="J98:M98"/>
    <mergeCell ref="N98:Q98"/>
    <mergeCell ref="F99:I99"/>
    <mergeCell ref="J99:M99"/>
    <mergeCell ref="N99:Q99"/>
    <mergeCell ref="J96:M96"/>
    <mergeCell ref="N96:Q96"/>
    <mergeCell ref="F97:I97"/>
    <mergeCell ref="J97:M97"/>
    <mergeCell ref="N97:Q97"/>
    <mergeCell ref="J94:M94"/>
    <mergeCell ref="N94:Q94"/>
    <mergeCell ref="F95:I95"/>
    <mergeCell ref="J95:M95"/>
    <mergeCell ref="N95:Q95"/>
    <mergeCell ref="J92:M92"/>
    <mergeCell ref="N92:Q92"/>
    <mergeCell ref="F93:I93"/>
    <mergeCell ref="J93:M93"/>
    <mergeCell ref="N93:Q93"/>
    <mergeCell ref="J90:M90"/>
    <mergeCell ref="N90:Q90"/>
    <mergeCell ref="F91:I91"/>
    <mergeCell ref="J91:M91"/>
    <mergeCell ref="N91:Q91"/>
    <mergeCell ref="J87:M87"/>
    <mergeCell ref="N87:Q87"/>
    <mergeCell ref="J88:M88"/>
    <mergeCell ref="N88:Q88"/>
    <mergeCell ref="F89:I89"/>
    <mergeCell ref="J89:M89"/>
    <mergeCell ref="N89:Q89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T100"/>
  <sheetViews>
    <sheetView zoomScaleNormal="100" workbookViewId="0">
      <pane xSplit="1" topLeftCell="B1" activePane="topRight" state="frozen"/>
      <selection activeCell="E8" sqref="E8"/>
      <selection pane="topRight" activeCell="I3" sqref="I3"/>
    </sheetView>
  </sheetViews>
  <sheetFormatPr defaultRowHeight="15"/>
  <cols>
    <col min="1" max="1" width="62.710937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6" width="15.7109375" style="4" customWidth="1"/>
    <col min="7" max="18" width="15.7109375" style="3" customWidth="1"/>
    <col min="19" max="19" width="6.42578125" style="3" customWidth="1"/>
    <col min="20" max="20" width="28.5703125" style="3" customWidth="1"/>
    <col min="21" max="21" width="15.7109375" style="3" customWidth="1"/>
    <col min="22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  <c r="G1" s="172"/>
    </row>
    <row r="2" spans="1:19">
      <c r="A2" s="1" t="s">
        <v>4</v>
      </c>
      <c r="B2" s="108" t="s">
        <v>130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111</v>
      </c>
      <c r="C3" s="6"/>
      <c r="E3" s="111" t="s">
        <v>73</v>
      </c>
      <c r="F3" s="109">
        <v>15702</v>
      </c>
      <c r="G3" s="109">
        <v>15702</v>
      </c>
      <c r="H3" s="109">
        <v>15702</v>
      </c>
      <c r="I3" s="109">
        <v>15702</v>
      </c>
    </row>
    <row r="4" spans="1:19">
      <c r="A4" s="1" t="s">
        <v>9</v>
      </c>
      <c r="B4" s="113">
        <v>40841</v>
      </c>
      <c r="C4" s="8"/>
      <c r="E4" s="111" t="s">
        <v>74</v>
      </c>
      <c r="F4" s="110">
        <v>1187200</v>
      </c>
      <c r="G4" s="110">
        <v>1187200</v>
      </c>
      <c r="H4" s="110">
        <v>1187200</v>
      </c>
      <c r="I4" s="110">
        <v>1187200</v>
      </c>
      <c r="K4" s="10"/>
      <c r="L4" s="10"/>
      <c r="M4" s="10"/>
      <c r="N4" s="10"/>
      <c r="O4" s="10"/>
      <c r="P4" s="10"/>
      <c r="Q4" s="10"/>
      <c r="R4" s="10"/>
      <c r="S4" s="11"/>
    </row>
    <row r="5" spans="1:19">
      <c r="A5" s="1" t="s">
        <v>10</v>
      </c>
      <c r="B5" s="113"/>
      <c r="C5" s="8"/>
      <c r="E5" s="111" t="s">
        <v>93</v>
      </c>
      <c r="F5" s="1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spans="1:19">
      <c r="A6" s="1" t="s">
        <v>99</v>
      </c>
      <c r="B6" s="113">
        <v>40909</v>
      </c>
      <c r="C6" s="8"/>
      <c r="E6" s="103"/>
      <c r="F6" s="103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19">
      <c r="A7" s="1" t="s">
        <v>2</v>
      </c>
      <c r="B7" s="60">
        <v>41000</v>
      </c>
      <c r="C7" s="12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5" t="s">
        <v>39</v>
      </c>
    </row>
    <row r="8" spans="1:19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34"/>
      <c r="S9" s="4">
        <v>2</v>
      </c>
    </row>
    <row r="10" spans="1:19">
      <c r="A10" s="61" t="s">
        <v>92</v>
      </c>
      <c r="B10" s="59"/>
      <c r="E10" s="13" t="s">
        <v>29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">
        <v>3</v>
      </c>
    </row>
    <row r="11" spans="1:19">
      <c r="A11" s="18" t="s">
        <v>12</v>
      </c>
      <c r="B11" s="19">
        <f>HLOOKUP($B$7,$F$8:$Q$74,S11,FALSE)</f>
        <v>0</v>
      </c>
      <c r="E11" s="20" t="s">
        <v>28</v>
      </c>
      <c r="F11" s="7">
        <v>0</v>
      </c>
      <c r="G11" s="7">
        <v>0</v>
      </c>
      <c r="H11" s="7">
        <v>0</v>
      </c>
      <c r="I11" s="7">
        <v>0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0</v>
      </c>
      <c r="S11" s="4">
        <v>4</v>
      </c>
    </row>
    <row r="12" spans="1:19">
      <c r="A12" s="18" t="s">
        <v>13</v>
      </c>
      <c r="B12" s="19">
        <f>HLOOKUP($B$7,$F$8:$Q$74,S12,FALSE)</f>
        <v>0</v>
      </c>
      <c r="E12" s="20" t="s">
        <v>28</v>
      </c>
      <c r="F12" s="7">
        <v>0</v>
      </c>
      <c r="G12" s="7">
        <v>0</v>
      </c>
      <c r="H12" s="7">
        <v>0</v>
      </c>
      <c r="I12" s="7">
        <v>0</v>
      </c>
      <c r="J12" s="7"/>
      <c r="K12" s="7"/>
      <c r="L12" s="7"/>
      <c r="M12" s="7"/>
      <c r="N12" s="7"/>
      <c r="O12" s="7"/>
      <c r="P12" s="7"/>
      <c r="Q12" s="7"/>
      <c r="R12" s="24">
        <f>SUM(F12:Q12)</f>
        <v>0</v>
      </c>
      <c r="S12" s="4">
        <v>5</v>
      </c>
    </row>
    <row r="13" spans="1:19">
      <c r="A13" s="18" t="s">
        <v>98</v>
      </c>
      <c r="B13" s="75">
        <f>HLOOKUP($B$7,$F$8:$Q$74,S13,FALSE)</f>
        <v>0</v>
      </c>
      <c r="E13" s="20" t="s">
        <v>28</v>
      </c>
      <c r="F13" s="77">
        <v>0</v>
      </c>
      <c r="G13" s="77">
        <v>0</v>
      </c>
      <c r="H13" s="77">
        <v>0</v>
      </c>
      <c r="I13" s="77">
        <v>0</v>
      </c>
      <c r="J13" s="77"/>
      <c r="K13" s="77"/>
      <c r="L13" s="77"/>
      <c r="M13" s="77"/>
      <c r="N13" s="77"/>
      <c r="O13" s="77"/>
      <c r="P13" s="77"/>
      <c r="Q13" s="77"/>
      <c r="R13" s="82">
        <f>SUM(F13:Q13)</f>
        <v>0</v>
      </c>
      <c r="S13" s="4">
        <v>6</v>
      </c>
    </row>
    <row r="14" spans="1:19">
      <c r="A14" s="61" t="s">
        <v>75</v>
      </c>
      <c r="B14" s="59"/>
      <c r="E14" s="5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34"/>
      <c r="S14" s="4">
        <v>7</v>
      </c>
    </row>
    <row r="15" spans="1:19">
      <c r="A15" s="1" t="s">
        <v>80</v>
      </c>
      <c r="B15" s="23">
        <f t="shared" ref="B15:B22" si="0">HLOOKUP($B$7,$F$8:$Q$74,S15,FALSE)</f>
        <v>15702</v>
      </c>
      <c r="E15" s="5"/>
      <c r="F15" s="24">
        <f t="shared" ref="F15:Q15" si="1">$F$3</f>
        <v>15702</v>
      </c>
      <c r="G15" s="24">
        <f t="shared" si="1"/>
        <v>15702</v>
      </c>
      <c r="H15" s="24">
        <f t="shared" si="1"/>
        <v>15702</v>
      </c>
      <c r="I15" s="24">
        <f t="shared" si="1"/>
        <v>15702</v>
      </c>
      <c r="J15" s="24">
        <f t="shared" si="1"/>
        <v>15702</v>
      </c>
      <c r="K15" s="24">
        <f t="shared" si="1"/>
        <v>15702</v>
      </c>
      <c r="L15" s="24">
        <f t="shared" si="1"/>
        <v>15702</v>
      </c>
      <c r="M15" s="24">
        <f t="shared" si="1"/>
        <v>15702</v>
      </c>
      <c r="N15" s="24">
        <f t="shared" si="1"/>
        <v>15702</v>
      </c>
      <c r="O15" s="24">
        <f t="shared" si="1"/>
        <v>15702</v>
      </c>
      <c r="P15" s="24">
        <f t="shared" si="1"/>
        <v>15702</v>
      </c>
      <c r="Q15" s="24">
        <f t="shared" si="1"/>
        <v>15702</v>
      </c>
      <c r="R15" s="25"/>
      <c r="S15" s="4">
        <v>8</v>
      </c>
    </row>
    <row r="16" spans="1:19">
      <c r="A16" s="1" t="s">
        <v>81</v>
      </c>
      <c r="B16" s="23">
        <f t="shared" si="0"/>
        <v>5234</v>
      </c>
      <c r="E16" s="5"/>
      <c r="F16" s="24">
        <f t="shared" ref="F16:Q16" si="2">F15*(F9/12)</f>
        <v>1308.5</v>
      </c>
      <c r="G16" s="24">
        <f t="shared" si="2"/>
        <v>2617</v>
      </c>
      <c r="H16" s="24">
        <f t="shared" si="2"/>
        <v>3925.5</v>
      </c>
      <c r="I16" s="24">
        <f t="shared" si="2"/>
        <v>5234</v>
      </c>
      <c r="J16" s="24">
        <f t="shared" si="2"/>
        <v>6542.5</v>
      </c>
      <c r="K16" s="24">
        <f t="shared" si="2"/>
        <v>7851</v>
      </c>
      <c r="L16" s="24">
        <f t="shared" si="2"/>
        <v>9159.5</v>
      </c>
      <c r="M16" s="24">
        <f t="shared" si="2"/>
        <v>10468</v>
      </c>
      <c r="N16" s="24">
        <f t="shared" si="2"/>
        <v>11776.5</v>
      </c>
      <c r="O16" s="24">
        <f t="shared" si="2"/>
        <v>13085</v>
      </c>
      <c r="P16" s="24">
        <f t="shared" si="2"/>
        <v>14393.5</v>
      </c>
      <c r="Q16" s="24">
        <f t="shared" si="2"/>
        <v>15702</v>
      </c>
      <c r="R16" s="25"/>
      <c r="S16" s="4">
        <v>9</v>
      </c>
    </row>
    <row r="17" spans="1:19">
      <c r="A17" s="86" t="s">
        <v>79</v>
      </c>
      <c r="B17" s="19">
        <f t="shared" si="0"/>
        <v>0</v>
      </c>
      <c r="E17" s="5"/>
      <c r="F17" s="21">
        <f>F11</f>
        <v>0</v>
      </c>
      <c r="G17" s="21">
        <f t="shared" ref="G17:Q17" si="3">F17+G11</f>
        <v>0</v>
      </c>
      <c r="H17" s="21">
        <f t="shared" si="3"/>
        <v>0</v>
      </c>
      <c r="I17" s="21">
        <f t="shared" si="3"/>
        <v>0</v>
      </c>
      <c r="J17" s="21">
        <f t="shared" si="3"/>
        <v>0</v>
      </c>
      <c r="K17" s="21">
        <f t="shared" si="3"/>
        <v>0</v>
      </c>
      <c r="L17" s="21">
        <f t="shared" si="3"/>
        <v>0</v>
      </c>
      <c r="M17" s="21">
        <f t="shared" si="3"/>
        <v>0</v>
      </c>
      <c r="N17" s="21">
        <f t="shared" si="3"/>
        <v>0</v>
      </c>
      <c r="O17" s="21">
        <f t="shared" si="3"/>
        <v>0</v>
      </c>
      <c r="P17" s="21">
        <f t="shared" si="3"/>
        <v>0</v>
      </c>
      <c r="Q17" s="21">
        <f t="shared" si="3"/>
        <v>0</v>
      </c>
      <c r="R17" s="27"/>
      <c r="S17" s="4">
        <v>10</v>
      </c>
    </row>
    <row r="18" spans="1:19">
      <c r="A18" s="86" t="s">
        <v>11</v>
      </c>
      <c r="B18" s="19">
        <f t="shared" si="0"/>
        <v>0</v>
      </c>
      <c r="E18" s="20" t="s">
        <v>30</v>
      </c>
      <c r="F18" s="7">
        <v>0</v>
      </c>
      <c r="G18" s="7">
        <v>0</v>
      </c>
      <c r="H18" s="7">
        <v>0</v>
      </c>
      <c r="I18" s="7">
        <v>0</v>
      </c>
      <c r="J18" s="7"/>
      <c r="K18" s="7"/>
      <c r="L18" s="7"/>
      <c r="M18" s="7"/>
      <c r="N18" s="7"/>
      <c r="O18" s="7"/>
      <c r="P18" s="7"/>
      <c r="Q18" s="7"/>
      <c r="R18" s="27"/>
      <c r="S18" s="4">
        <v>11</v>
      </c>
    </row>
    <row r="19" spans="1:19">
      <c r="A19" s="87" t="s">
        <v>45</v>
      </c>
      <c r="B19" s="51">
        <f t="shared" si="0"/>
        <v>0</v>
      </c>
      <c r="C19" s="92"/>
      <c r="D19" s="92"/>
      <c r="E19" s="92"/>
      <c r="F19" s="26">
        <f t="shared" ref="F19:Q19" si="4">F17+F18</f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8"/>
      <c r="S19" s="4">
        <v>12</v>
      </c>
    </row>
    <row r="20" spans="1:19">
      <c r="A20" s="86" t="s">
        <v>7</v>
      </c>
      <c r="B20" s="88">
        <f t="shared" si="0"/>
        <v>0</v>
      </c>
      <c r="F20" s="88">
        <f t="shared" ref="F20:Q20" si="5">F17/F15</f>
        <v>0</v>
      </c>
      <c r="G20" s="88">
        <f t="shared" si="5"/>
        <v>0</v>
      </c>
      <c r="H20" s="88">
        <f t="shared" si="5"/>
        <v>0</v>
      </c>
      <c r="I20" s="88">
        <f t="shared" si="5"/>
        <v>0</v>
      </c>
      <c r="J20" s="88">
        <f t="shared" si="5"/>
        <v>0</v>
      </c>
      <c r="K20" s="88">
        <f t="shared" si="5"/>
        <v>0</v>
      </c>
      <c r="L20" s="88">
        <f t="shared" si="5"/>
        <v>0</v>
      </c>
      <c r="M20" s="88">
        <f t="shared" si="5"/>
        <v>0</v>
      </c>
      <c r="N20" s="88">
        <f t="shared" si="5"/>
        <v>0</v>
      </c>
      <c r="O20" s="88">
        <f t="shared" si="5"/>
        <v>0</v>
      </c>
      <c r="P20" s="88">
        <f t="shared" si="5"/>
        <v>0</v>
      </c>
      <c r="Q20" s="88">
        <f t="shared" si="5"/>
        <v>0</v>
      </c>
      <c r="R20" s="39"/>
      <c r="S20" s="4">
        <v>13</v>
      </c>
    </row>
    <row r="21" spans="1:19">
      <c r="A21" s="86" t="s">
        <v>49</v>
      </c>
      <c r="B21" s="88">
        <f t="shared" si="0"/>
        <v>0</v>
      </c>
      <c r="F21" s="88">
        <f t="shared" ref="F21:Q21" si="6">F19/F15</f>
        <v>0</v>
      </c>
      <c r="G21" s="88">
        <f t="shared" si="6"/>
        <v>0</v>
      </c>
      <c r="H21" s="88">
        <f t="shared" si="6"/>
        <v>0</v>
      </c>
      <c r="I21" s="88">
        <f t="shared" si="6"/>
        <v>0</v>
      </c>
      <c r="J21" s="88">
        <f t="shared" si="6"/>
        <v>0</v>
      </c>
      <c r="K21" s="88">
        <f t="shared" si="6"/>
        <v>0</v>
      </c>
      <c r="L21" s="88">
        <f t="shared" si="6"/>
        <v>0</v>
      </c>
      <c r="M21" s="88">
        <f t="shared" si="6"/>
        <v>0</v>
      </c>
      <c r="N21" s="88">
        <f t="shared" si="6"/>
        <v>0</v>
      </c>
      <c r="O21" s="88">
        <f t="shared" si="6"/>
        <v>0</v>
      </c>
      <c r="P21" s="88">
        <f t="shared" si="6"/>
        <v>0</v>
      </c>
      <c r="Q21" s="88">
        <f t="shared" si="6"/>
        <v>0</v>
      </c>
      <c r="R21" s="39"/>
      <c r="S21" s="4">
        <v>14</v>
      </c>
    </row>
    <row r="22" spans="1:19">
      <c r="A22" s="86" t="s">
        <v>6</v>
      </c>
      <c r="B22" s="88">
        <f t="shared" si="0"/>
        <v>0</v>
      </c>
      <c r="F22" s="88">
        <f t="shared" ref="F22:Q22" si="7">F17/F16</f>
        <v>0</v>
      </c>
      <c r="G22" s="88">
        <f t="shared" si="7"/>
        <v>0</v>
      </c>
      <c r="H22" s="88">
        <f t="shared" si="7"/>
        <v>0</v>
      </c>
      <c r="I22" s="88">
        <f t="shared" si="7"/>
        <v>0</v>
      </c>
      <c r="J22" s="88">
        <f t="shared" si="7"/>
        <v>0</v>
      </c>
      <c r="K22" s="88">
        <f t="shared" si="7"/>
        <v>0</v>
      </c>
      <c r="L22" s="88">
        <f t="shared" si="7"/>
        <v>0</v>
      </c>
      <c r="M22" s="88">
        <f t="shared" si="7"/>
        <v>0</v>
      </c>
      <c r="N22" s="88">
        <f t="shared" si="7"/>
        <v>0</v>
      </c>
      <c r="O22" s="88">
        <f t="shared" si="7"/>
        <v>0</v>
      </c>
      <c r="P22" s="88">
        <f t="shared" si="7"/>
        <v>0</v>
      </c>
      <c r="Q22" s="88">
        <f t="shared" si="7"/>
        <v>0</v>
      </c>
      <c r="R22" s="39"/>
      <c r="S22" s="4">
        <v>15</v>
      </c>
    </row>
    <row r="23" spans="1:19">
      <c r="A23" s="61" t="s">
        <v>76</v>
      </c>
      <c r="B23" s="59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34"/>
      <c r="S23" s="4">
        <v>16</v>
      </c>
    </row>
    <row r="24" spans="1:19">
      <c r="A24" s="86" t="s">
        <v>82</v>
      </c>
      <c r="B24" s="19">
        <f>HLOOKUP($B$7,$F$8:$Q$74,S24,FALSE)</f>
        <v>0</v>
      </c>
      <c r="F24" s="21">
        <f>F12</f>
        <v>0</v>
      </c>
      <c r="G24" s="21">
        <f t="shared" ref="G24:Q24" si="8">F24+G12</f>
        <v>0</v>
      </c>
      <c r="H24" s="21">
        <f t="shared" si="8"/>
        <v>0</v>
      </c>
      <c r="I24" s="21">
        <f t="shared" si="8"/>
        <v>0</v>
      </c>
      <c r="J24" s="21">
        <f t="shared" si="8"/>
        <v>0</v>
      </c>
      <c r="K24" s="21">
        <f t="shared" si="8"/>
        <v>0</v>
      </c>
      <c r="L24" s="21">
        <f t="shared" si="8"/>
        <v>0</v>
      </c>
      <c r="M24" s="21">
        <f t="shared" si="8"/>
        <v>0</v>
      </c>
      <c r="N24" s="21">
        <f t="shared" si="8"/>
        <v>0</v>
      </c>
      <c r="O24" s="21">
        <f t="shared" si="8"/>
        <v>0</v>
      </c>
      <c r="P24" s="21">
        <f t="shared" si="8"/>
        <v>0</v>
      </c>
      <c r="Q24" s="21">
        <f t="shared" si="8"/>
        <v>0</v>
      </c>
      <c r="R24" s="34"/>
      <c r="S24" s="4">
        <v>17</v>
      </c>
    </row>
    <row r="25" spans="1:19">
      <c r="A25" s="86" t="s">
        <v>14</v>
      </c>
      <c r="B25" s="19">
        <f>HLOOKUP($B$7,$F$8:$Q$74,S25,FALSE)</f>
        <v>0</v>
      </c>
      <c r="E25" s="20" t="s">
        <v>30</v>
      </c>
      <c r="F25" s="7">
        <v>0</v>
      </c>
      <c r="G25" s="7">
        <v>0</v>
      </c>
      <c r="H25" s="7">
        <v>0</v>
      </c>
      <c r="I25" s="7">
        <v>0</v>
      </c>
      <c r="J25" s="7"/>
      <c r="K25" s="7"/>
      <c r="L25" s="7"/>
      <c r="M25" s="7"/>
      <c r="N25" s="7"/>
      <c r="O25" s="7"/>
      <c r="P25" s="7"/>
      <c r="Q25" s="7"/>
      <c r="R25" s="34"/>
      <c r="S25" s="4">
        <v>18</v>
      </c>
    </row>
    <row r="26" spans="1:19">
      <c r="A26" s="89" t="s">
        <v>47</v>
      </c>
      <c r="B26" s="51">
        <f>HLOOKUP($B$7,$F$8:$Q$74,S26,FALSE)</f>
        <v>0</v>
      </c>
      <c r="C26" s="92"/>
      <c r="D26" s="92"/>
      <c r="E26" s="92"/>
      <c r="F26" s="26">
        <f t="shared" ref="F26:Q26" si="9">F24+F25</f>
        <v>0</v>
      </c>
      <c r="G26" s="26">
        <f t="shared" si="9"/>
        <v>0</v>
      </c>
      <c r="H26" s="26">
        <f t="shared" si="9"/>
        <v>0</v>
      </c>
      <c r="I26" s="26">
        <f t="shared" si="9"/>
        <v>0</v>
      </c>
      <c r="J26" s="26">
        <f t="shared" si="9"/>
        <v>0</v>
      </c>
      <c r="K26" s="26">
        <f t="shared" si="9"/>
        <v>0</v>
      </c>
      <c r="L26" s="26">
        <f t="shared" si="9"/>
        <v>0</v>
      </c>
      <c r="M26" s="26">
        <f t="shared" si="9"/>
        <v>0</v>
      </c>
      <c r="N26" s="26">
        <f t="shared" si="9"/>
        <v>0</v>
      </c>
      <c r="O26" s="26">
        <f t="shared" si="9"/>
        <v>0</v>
      </c>
      <c r="P26" s="26">
        <f t="shared" si="9"/>
        <v>0</v>
      </c>
      <c r="Q26" s="26">
        <f t="shared" si="9"/>
        <v>0</v>
      </c>
      <c r="R26" s="34"/>
      <c r="S26" s="4">
        <v>19</v>
      </c>
    </row>
    <row r="27" spans="1:19">
      <c r="A27" s="61" t="s">
        <v>77</v>
      </c>
      <c r="B27" s="5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34"/>
      <c r="S27" s="4">
        <v>20</v>
      </c>
    </row>
    <row r="28" spans="1:19">
      <c r="A28" s="86" t="s">
        <v>83</v>
      </c>
      <c r="B28" s="75">
        <f>HLOOKUP($B$7,$F$8:$Q$74,S28,FALSE)</f>
        <v>0</v>
      </c>
      <c r="F28" s="74">
        <f>F13</f>
        <v>0</v>
      </c>
      <c r="G28" s="74">
        <f t="shared" ref="G28:Q28" si="10">F28+G13</f>
        <v>0</v>
      </c>
      <c r="H28" s="74">
        <f t="shared" si="10"/>
        <v>0</v>
      </c>
      <c r="I28" s="74">
        <f t="shared" si="10"/>
        <v>0</v>
      </c>
      <c r="J28" s="74">
        <f t="shared" si="10"/>
        <v>0</v>
      </c>
      <c r="K28" s="74">
        <f t="shared" si="10"/>
        <v>0</v>
      </c>
      <c r="L28" s="74">
        <f t="shared" si="10"/>
        <v>0</v>
      </c>
      <c r="M28" s="74">
        <f t="shared" si="10"/>
        <v>0</v>
      </c>
      <c r="N28" s="74">
        <f t="shared" si="10"/>
        <v>0</v>
      </c>
      <c r="O28" s="74">
        <f t="shared" si="10"/>
        <v>0</v>
      </c>
      <c r="P28" s="74">
        <f t="shared" si="10"/>
        <v>0</v>
      </c>
      <c r="Q28" s="74">
        <f t="shared" si="10"/>
        <v>0</v>
      </c>
      <c r="R28" s="28"/>
      <c r="S28" s="4">
        <v>21</v>
      </c>
    </row>
    <row r="29" spans="1:19">
      <c r="A29" s="86" t="s">
        <v>15</v>
      </c>
      <c r="B29" s="75">
        <f>HLOOKUP($B$7,$F$8:$Q$74,S29,FALSE)</f>
        <v>0</v>
      </c>
      <c r="E29" s="20" t="s">
        <v>30</v>
      </c>
      <c r="F29" s="77">
        <v>0</v>
      </c>
      <c r="G29" s="77">
        <v>0</v>
      </c>
      <c r="H29" s="77">
        <v>0</v>
      </c>
      <c r="I29" s="77">
        <v>0</v>
      </c>
      <c r="J29" s="77"/>
      <c r="K29" s="77"/>
      <c r="L29" s="77"/>
      <c r="M29" s="77"/>
      <c r="N29" s="77"/>
      <c r="O29" s="77"/>
      <c r="P29" s="77"/>
      <c r="Q29" s="77"/>
      <c r="R29" s="28"/>
      <c r="S29" s="4">
        <v>22</v>
      </c>
    </row>
    <row r="30" spans="1:19">
      <c r="A30" s="89" t="s">
        <v>26</v>
      </c>
      <c r="B30" s="83">
        <f>HLOOKUP($B$7,$F$8:$Q$74,S30,FALSE)</f>
        <v>0</v>
      </c>
      <c r="C30" s="92"/>
      <c r="D30" s="92"/>
      <c r="E30" s="92"/>
      <c r="F30" s="94">
        <f t="shared" ref="F30:Q30" si="11">F28+F29</f>
        <v>0</v>
      </c>
      <c r="G30" s="94">
        <f t="shared" si="11"/>
        <v>0</v>
      </c>
      <c r="H30" s="94">
        <f t="shared" si="11"/>
        <v>0</v>
      </c>
      <c r="I30" s="94">
        <f t="shared" si="11"/>
        <v>0</v>
      </c>
      <c r="J30" s="94">
        <f t="shared" si="11"/>
        <v>0</v>
      </c>
      <c r="K30" s="94">
        <f t="shared" si="11"/>
        <v>0</v>
      </c>
      <c r="L30" s="94">
        <f t="shared" si="11"/>
        <v>0</v>
      </c>
      <c r="M30" s="94">
        <f t="shared" si="11"/>
        <v>0</v>
      </c>
      <c r="N30" s="94">
        <f t="shared" si="11"/>
        <v>0</v>
      </c>
      <c r="O30" s="94">
        <f t="shared" si="11"/>
        <v>0</v>
      </c>
      <c r="P30" s="94">
        <f t="shared" si="11"/>
        <v>0</v>
      </c>
      <c r="Q30" s="94">
        <f t="shared" si="11"/>
        <v>0</v>
      </c>
      <c r="R30" s="28"/>
      <c r="S30" s="4">
        <v>23</v>
      </c>
    </row>
    <row r="31" spans="1:19">
      <c r="A31" s="61" t="s">
        <v>94</v>
      </c>
      <c r="B31" s="59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34"/>
      <c r="S31" s="4">
        <v>24</v>
      </c>
    </row>
    <row r="32" spans="1:19">
      <c r="A32" s="90" t="s">
        <v>50</v>
      </c>
      <c r="B32" s="49">
        <f t="shared" ref="B32:B40" si="12">HLOOKUP($B$7,$F$8:$Q$74,S32,FALSE)</f>
        <v>4333.0099999999993</v>
      </c>
      <c r="E32" s="20" t="s">
        <v>28</v>
      </c>
      <c r="F32" s="9">
        <v>627.59</v>
      </c>
      <c r="G32" s="9">
        <v>5414.51</v>
      </c>
      <c r="H32" s="9">
        <v>2380.2899999999995</v>
      </c>
      <c r="I32" s="9">
        <v>4333.0099999999993</v>
      </c>
      <c r="J32" s="9"/>
      <c r="K32" s="9"/>
      <c r="L32" s="9"/>
      <c r="M32" s="9"/>
      <c r="N32" s="9"/>
      <c r="O32" s="9"/>
      <c r="P32" s="9"/>
      <c r="Q32" s="9"/>
      <c r="R32" s="85">
        <f t="shared" ref="R32:R40" si="13">SUM(F32:Q32)</f>
        <v>12755.399999999998</v>
      </c>
      <c r="S32" s="4">
        <v>25</v>
      </c>
    </row>
    <row r="33" spans="1:19">
      <c r="A33" s="90" t="s">
        <v>51</v>
      </c>
      <c r="B33" s="49">
        <f t="shared" si="12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si="13"/>
        <v>0</v>
      </c>
      <c r="S33" s="4">
        <v>26</v>
      </c>
    </row>
    <row r="34" spans="1:19">
      <c r="A34" s="90" t="s">
        <v>52</v>
      </c>
      <c r="B34" s="49">
        <f t="shared" si="12"/>
        <v>40</v>
      </c>
      <c r="E34" s="20" t="s">
        <v>28</v>
      </c>
      <c r="F34" s="9">
        <v>0</v>
      </c>
      <c r="G34" s="9">
        <v>0</v>
      </c>
      <c r="H34" s="9">
        <v>0</v>
      </c>
      <c r="I34" s="9">
        <v>40</v>
      </c>
      <c r="J34" s="9"/>
      <c r="K34" s="9"/>
      <c r="L34" s="9"/>
      <c r="M34" s="9"/>
      <c r="N34" s="9"/>
      <c r="O34" s="9"/>
      <c r="P34" s="9"/>
      <c r="Q34" s="9"/>
      <c r="R34" s="85">
        <f t="shared" si="13"/>
        <v>40</v>
      </c>
      <c r="S34" s="4">
        <v>27</v>
      </c>
    </row>
    <row r="35" spans="1:19">
      <c r="A35" s="90" t="s">
        <v>53</v>
      </c>
      <c r="B35" s="49">
        <f t="shared" si="12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3"/>
        <v>0</v>
      </c>
      <c r="S35" s="4">
        <v>28</v>
      </c>
    </row>
    <row r="36" spans="1:19">
      <c r="A36" s="90" t="s">
        <v>54</v>
      </c>
      <c r="B36" s="49">
        <f t="shared" si="12"/>
        <v>0</v>
      </c>
      <c r="E36" s="20" t="s">
        <v>28</v>
      </c>
      <c r="F36" s="9">
        <v>0</v>
      </c>
      <c r="G36" s="9">
        <v>0</v>
      </c>
      <c r="H36" s="9">
        <v>0</v>
      </c>
      <c r="I36" s="9">
        <v>0</v>
      </c>
      <c r="J36" s="9"/>
      <c r="K36" s="9"/>
      <c r="L36" s="9"/>
      <c r="M36" s="9"/>
      <c r="N36" s="9"/>
      <c r="O36" s="9"/>
      <c r="P36" s="9"/>
      <c r="Q36" s="9"/>
      <c r="R36" s="85">
        <f t="shared" si="13"/>
        <v>0</v>
      </c>
      <c r="S36" s="4">
        <v>29</v>
      </c>
    </row>
    <row r="37" spans="1:19">
      <c r="A37" s="90" t="s">
        <v>55</v>
      </c>
      <c r="B37" s="49">
        <f t="shared" si="12"/>
        <v>0</v>
      </c>
      <c r="E37" s="20" t="s">
        <v>28</v>
      </c>
      <c r="F37" s="9">
        <v>0</v>
      </c>
      <c r="G37" s="9">
        <v>0</v>
      </c>
      <c r="H37" s="9">
        <v>0</v>
      </c>
      <c r="I37" s="9">
        <v>0</v>
      </c>
      <c r="J37" s="9"/>
      <c r="K37" s="9"/>
      <c r="L37" s="9"/>
      <c r="M37" s="9"/>
      <c r="N37" s="9"/>
      <c r="O37" s="9"/>
      <c r="P37" s="9"/>
      <c r="Q37" s="9"/>
      <c r="R37" s="85">
        <f t="shared" si="13"/>
        <v>0</v>
      </c>
      <c r="S37" s="4">
        <v>30</v>
      </c>
    </row>
    <row r="38" spans="1:19">
      <c r="A38" s="90" t="s">
        <v>56</v>
      </c>
      <c r="B38" s="49">
        <f t="shared" si="12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 t="shared" si="13"/>
        <v>0</v>
      </c>
      <c r="S38" s="4">
        <v>31</v>
      </c>
    </row>
    <row r="39" spans="1:19">
      <c r="A39" s="90" t="s">
        <v>95</v>
      </c>
      <c r="B39" s="49">
        <f t="shared" si="12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>
        <f t="shared" si="13"/>
        <v>0</v>
      </c>
      <c r="S39" s="4">
        <v>32</v>
      </c>
    </row>
    <row r="40" spans="1:19">
      <c r="A40" s="91" t="s">
        <v>57</v>
      </c>
      <c r="B40" s="48">
        <f t="shared" si="12"/>
        <v>4373.0099999999993</v>
      </c>
      <c r="C40" s="92"/>
      <c r="D40" s="92"/>
      <c r="E40" s="93"/>
      <c r="F40" s="36">
        <f t="shared" ref="F40:Q40" si="14">SUM(F32:F39)</f>
        <v>627.59</v>
      </c>
      <c r="G40" s="36">
        <f t="shared" si="14"/>
        <v>5414.51</v>
      </c>
      <c r="H40" s="36">
        <f t="shared" si="14"/>
        <v>2380.2899999999995</v>
      </c>
      <c r="I40" s="36">
        <f t="shared" si="14"/>
        <v>4373.0099999999993</v>
      </c>
      <c r="J40" s="36">
        <f t="shared" si="14"/>
        <v>0</v>
      </c>
      <c r="K40" s="36">
        <f t="shared" si="14"/>
        <v>0</v>
      </c>
      <c r="L40" s="36">
        <f t="shared" si="14"/>
        <v>0</v>
      </c>
      <c r="M40" s="36">
        <f t="shared" si="14"/>
        <v>0</v>
      </c>
      <c r="N40" s="36">
        <f t="shared" si="14"/>
        <v>0</v>
      </c>
      <c r="O40" s="36">
        <f t="shared" si="14"/>
        <v>0</v>
      </c>
      <c r="P40" s="36">
        <f t="shared" si="14"/>
        <v>0</v>
      </c>
      <c r="Q40" s="36">
        <f t="shared" si="14"/>
        <v>0</v>
      </c>
      <c r="R40" s="66">
        <f t="shared" si="13"/>
        <v>12795.399999999998</v>
      </c>
      <c r="S40" s="4">
        <v>33</v>
      </c>
    </row>
    <row r="41" spans="1:19">
      <c r="A41" s="61" t="s">
        <v>96</v>
      </c>
      <c r="B41" s="59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34"/>
      <c r="S41" s="4">
        <v>34</v>
      </c>
    </row>
    <row r="42" spans="1:19">
      <c r="A42" s="90" t="s">
        <v>100</v>
      </c>
      <c r="B42" s="49">
        <f t="shared" ref="B42:B49" si="15">HLOOKUP($B$7,$F$8:$Q$74,S42,FALSE)</f>
        <v>0</v>
      </c>
      <c r="E42" s="20" t="s">
        <v>30</v>
      </c>
      <c r="F42" s="9">
        <v>0</v>
      </c>
      <c r="G42" s="9">
        <v>0</v>
      </c>
      <c r="H42" s="9">
        <v>0</v>
      </c>
      <c r="I42" s="9">
        <v>0</v>
      </c>
      <c r="J42" s="9"/>
      <c r="K42" s="9"/>
      <c r="L42" s="9"/>
      <c r="M42" s="9"/>
      <c r="N42" s="9"/>
      <c r="O42" s="9"/>
      <c r="P42" s="9"/>
      <c r="Q42" s="9"/>
      <c r="R42" s="34"/>
      <c r="S42" s="4">
        <v>35</v>
      </c>
    </row>
    <row r="43" spans="1:19">
      <c r="A43" s="90" t="s">
        <v>101</v>
      </c>
      <c r="B43" s="49">
        <f t="shared" si="15"/>
        <v>0</v>
      </c>
      <c r="E43" s="20" t="s">
        <v>30</v>
      </c>
      <c r="F43" s="9">
        <v>0</v>
      </c>
      <c r="G43" s="9">
        <v>0</v>
      </c>
      <c r="H43" s="9">
        <v>0</v>
      </c>
      <c r="I43" s="9">
        <v>0</v>
      </c>
      <c r="J43" s="9"/>
      <c r="K43" s="9"/>
      <c r="L43" s="9"/>
      <c r="M43" s="9"/>
      <c r="N43" s="9"/>
      <c r="O43" s="9"/>
      <c r="P43" s="9"/>
      <c r="Q43" s="9"/>
      <c r="R43" s="34"/>
      <c r="S43" s="4">
        <v>36</v>
      </c>
    </row>
    <row r="44" spans="1:19">
      <c r="A44" s="90" t="s">
        <v>102</v>
      </c>
      <c r="B44" s="49">
        <f t="shared" si="15"/>
        <v>0</v>
      </c>
      <c r="E44" s="20" t="s">
        <v>30</v>
      </c>
      <c r="F44" s="9">
        <v>0</v>
      </c>
      <c r="G44" s="9">
        <v>0</v>
      </c>
      <c r="H44" s="9">
        <v>0</v>
      </c>
      <c r="I44" s="9">
        <v>0</v>
      </c>
      <c r="J44" s="9"/>
      <c r="K44" s="9"/>
      <c r="L44" s="9"/>
      <c r="M44" s="9"/>
      <c r="N44" s="9"/>
      <c r="O44" s="9"/>
      <c r="P44" s="9"/>
      <c r="Q44" s="9"/>
      <c r="R44" s="34"/>
      <c r="S44" s="4">
        <v>37</v>
      </c>
    </row>
    <row r="45" spans="1:19">
      <c r="A45" s="90" t="s">
        <v>103</v>
      </c>
      <c r="B45" s="49">
        <f t="shared" si="15"/>
        <v>0</v>
      </c>
      <c r="E45" s="20" t="s">
        <v>30</v>
      </c>
      <c r="F45" s="9">
        <v>0</v>
      </c>
      <c r="G45" s="9">
        <v>0</v>
      </c>
      <c r="H45" s="9">
        <v>0</v>
      </c>
      <c r="I45" s="9">
        <v>0</v>
      </c>
      <c r="J45" s="9"/>
      <c r="K45" s="9"/>
      <c r="L45" s="9"/>
      <c r="M45" s="9"/>
      <c r="N45" s="9"/>
      <c r="O45" s="9"/>
      <c r="P45" s="9"/>
      <c r="Q45" s="9"/>
      <c r="R45" s="34"/>
      <c r="S45" s="4">
        <v>38</v>
      </c>
    </row>
    <row r="46" spans="1:19">
      <c r="A46" s="90" t="s">
        <v>104</v>
      </c>
      <c r="B46" s="49">
        <f t="shared" si="15"/>
        <v>0</v>
      </c>
      <c r="E46" s="20" t="s">
        <v>30</v>
      </c>
      <c r="F46" s="9">
        <v>0</v>
      </c>
      <c r="G46" s="9">
        <v>0</v>
      </c>
      <c r="H46" s="9">
        <v>0</v>
      </c>
      <c r="I46" s="9">
        <v>0</v>
      </c>
      <c r="J46" s="9"/>
      <c r="K46" s="9"/>
      <c r="L46" s="9"/>
      <c r="M46" s="9"/>
      <c r="N46" s="9"/>
      <c r="O46" s="9"/>
      <c r="P46" s="9"/>
      <c r="Q46" s="9"/>
      <c r="R46" s="34"/>
      <c r="S46" s="4">
        <v>39</v>
      </c>
    </row>
    <row r="47" spans="1:19">
      <c r="A47" s="90" t="s">
        <v>105</v>
      </c>
      <c r="B47" s="49">
        <f t="shared" si="15"/>
        <v>0</v>
      </c>
      <c r="E47" s="20" t="s">
        <v>30</v>
      </c>
      <c r="F47" s="9">
        <v>0</v>
      </c>
      <c r="G47" s="9">
        <v>0</v>
      </c>
      <c r="H47" s="9">
        <v>0</v>
      </c>
      <c r="I47" s="9">
        <v>0</v>
      </c>
      <c r="J47" s="9"/>
      <c r="K47" s="9"/>
      <c r="L47" s="9"/>
      <c r="M47" s="9"/>
      <c r="N47" s="9"/>
      <c r="O47" s="9"/>
      <c r="P47" s="9"/>
      <c r="Q47" s="9"/>
      <c r="R47" s="34"/>
      <c r="S47" s="4">
        <v>40</v>
      </c>
    </row>
    <row r="48" spans="1:19">
      <c r="A48" s="90" t="s">
        <v>106</v>
      </c>
      <c r="B48" s="49">
        <f t="shared" si="15"/>
        <v>0</v>
      </c>
      <c r="E48" s="20" t="s">
        <v>30</v>
      </c>
      <c r="F48" s="9">
        <v>0</v>
      </c>
      <c r="G48" s="9">
        <v>0</v>
      </c>
      <c r="H48" s="9">
        <v>0</v>
      </c>
      <c r="I48" s="9">
        <v>0</v>
      </c>
      <c r="J48" s="9"/>
      <c r="K48" s="9"/>
      <c r="L48" s="9"/>
      <c r="M48" s="9"/>
      <c r="N48" s="9"/>
      <c r="O48" s="9"/>
      <c r="P48" s="9"/>
      <c r="Q48" s="9"/>
      <c r="R48" s="34"/>
      <c r="S48" s="4">
        <v>41</v>
      </c>
    </row>
    <row r="49" spans="1:19">
      <c r="A49" s="90" t="s">
        <v>107</v>
      </c>
      <c r="B49" s="49">
        <f t="shared" si="15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34"/>
      <c r="S49" s="4">
        <v>42</v>
      </c>
    </row>
    <row r="50" spans="1:19">
      <c r="A50" s="61" t="s">
        <v>78</v>
      </c>
      <c r="B50" s="59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34"/>
      <c r="S50" s="4">
        <v>43</v>
      </c>
    </row>
    <row r="51" spans="1:19">
      <c r="A51" s="1" t="s">
        <v>71</v>
      </c>
      <c r="B51" s="33">
        <f t="shared" ref="B51:B58" si="16">HLOOKUP($B$7,$F$8:$Q$74,S51,FALSE)</f>
        <v>1187200</v>
      </c>
      <c r="F51" s="32">
        <f t="shared" ref="F51:Q51" si="17">$F$4+$F$5</f>
        <v>1187200</v>
      </c>
      <c r="G51" s="32">
        <f t="shared" si="17"/>
        <v>1187200</v>
      </c>
      <c r="H51" s="32">
        <f t="shared" si="17"/>
        <v>1187200</v>
      </c>
      <c r="I51" s="32">
        <f t="shared" si="17"/>
        <v>1187200</v>
      </c>
      <c r="J51" s="32">
        <f t="shared" si="17"/>
        <v>1187200</v>
      </c>
      <c r="K51" s="32">
        <f t="shared" si="17"/>
        <v>1187200</v>
      </c>
      <c r="L51" s="32">
        <f t="shared" si="17"/>
        <v>1187200</v>
      </c>
      <c r="M51" s="32">
        <f t="shared" si="17"/>
        <v>1187200</v>
      </c>
      <c r="N51" s="32">
        <f t="shared" si="17"/>
        <v>1187200</v>
      </c>
      <c r="O51" s="32">
        <f t="shared" si="17"/>
        <v>1187200</v>
      </c>
      <c r="P51" s="32">
        <f t="shared" si="17"/>
        <v>1187200</v>
      </c>
      <c r="Q51" s="32">
        <f t="shared" si="17"/>
        <v>1187200</v>
      </c>
      <c r="R51" s="62"/>
      <c r="S51" s="4">
        <v>44</v>
      </c>
    </row>
    <row r="52" spans="1:19">
      <c r="A52" s="1" t="s">
        <v>72</v>
      </c>
      <c r="B52" s="33">
        <f t="shared" si="16"/>
        <v>395733.33333333331</v>
      </c>
      <c r="F52" s="33">
        <f t="shared" ref="F52:Q52" si="18">F51*(F9/12)</f>
        <v>98933.333333333328</v>
      </c>
      <c r="G52" s="33">
        <f t="shared" si="18"/>
        <v>197866.66666666666</v>
      </c>
      <c r="H52" s="33">
        <f t="shared" si="18"/>
        <v>296800</v>
      </c>
      <c r="I52" s="33">
        <f t="shared" si="18"/>
        <v>395733.33333333331</v>
      </c>
      <c r="J52" s="33">
        <f t="shared" si="18"/>
        <v>494666.66666666669</v>
      </c>
      <c r="K52" s="33">
        <f t="shared" si="18"/>
        <v>593600</v>
      </c>
      <c r="L52" s="33">
        <f t="shared" si="18"/>
        <v>692533.33333333337</v>
      </c>
      <c r="M52" s="33">
        <f t="shared" si="18"/>
        <v>791466.66666666663</v>
      </c>
      <c r="N52" s="33">
        <f t="shared" si="18"/>
        <v>890400</v>
      </c>
      <c r="O52" s="33">
        <f t="shared" si="18"/>
        <v>989333.33333333337</v>
      </c>
      <c r="P52" s="33">
        <f t="shared" si="18"/>
        <v>1088266.6666666665</v>
      </c>
      <c r="Q52" s="33">
        <f t="shared" si="18"/>
        <v>1187200</v>
      </c>
      <c r="R52" s="34"/>
      <c r="S52" s="4">
        <v>45</v>
      </c>
    </row>
    <row r="53" spans="1:19">
      <c r="A53" s="86" t="s">
        <v>67</v>
      </c>
      <c r="B53" s="49">
        <f t="shared" si="16"/>
        <v>12795.399999999998</v>
      </c>
      <c r="F53" s="37">
        <f>SUM(F32:F38)</f>
        <v>627.59</v>
      </c>
      <c r="G53" s="37">
        <f t="shared" ref="G53:Q53" si="19">F53+G40</f>
        <v>6042.1</v>
      </c>
      <c r="H53" s="37">
        <f t="shared" si="19"/>
        <v>8422.39</v>
      </c>
      <c r="I53" s="37">
        <f t="shared" si="19"/>
        <v>12795.399999999998</v>
      </c>
      <c r="J53" s="37">
        <f t="shared" si="19"/>
        <v>12795.399999999998</v>
      </c>
      <c r="K53" s="37">
        <f t="shared" si="19"/>
        <v>12795.399999999998</v>
      </c>
      <c r="L53" s="37">
        <f t="shared" si="19"/>
        <v>12795.399999999998</v>
      </c>
      <c r="M53" s="37">
        <f t="shared" si="19"/>
        <v>12795.399999999998</v>
      </c>
      <c r="N53" s="37">
        <f t="shared" si="19"/>
        <v>12795.399999999998</v>
      </c>
      <c r="O53" s="37">
        <f t="shared" si="19"/>
        <v>12795.399999999998</v>
      </c>
      <c r="P53" s="37">
        <f t="shared" si="19"/>
        <v>12795.399999999998</v>
      </c>
      <c r="Q53" s="37">
        <f t="shared" si="19"/>
        <v>12795.399999999998</v>
      </c>
      <c r="R53" s="38"/>
      <c r="S53" s="4">
        <v>46</v>
      </c>
    </row>
    <row r="54" spans="1:19">
      <c r="A54" s="86" t="s">
        <v>97</v>
      </c>
      <c r="B54" s="49">
        <f t="shared" si="16"/>
        <v>0</v>
      </c>
      <c r="E54" s="3"/>
      <c r="F54" s="37">
        <f t="shared" ref="F54:Q54" si="20">SUM(F42:F49)</f>
        <v>0</v>
      </c>
      <c r="G54" s="37">
        <f t="shared" si="20"/>
        <v>0</v>
      </c>
      <c r="H54" s="37">
        <f t="shared" si="20"/>
        <v>0</v>
      </c>
      <c r="I54" s="37">
        <f t="shared" si="20"/>
        <v>0</v>
      </c>
      <c r="J54" s="37">
        <f t="shared" si="20"/>
        <v>0</v>
      </c>
      <c r="K54" s="37">
        <f t="shared" si="20"/>
        <v>0</v>
      </c>
      <c r="L54" s="37">
        <f t="shared" si="20"/>
        <v>0</v>
      </c>
      <c r="M54" s="37">
        <f t="shared" si="20"/>
        <v>0</v>
      </c>
      <c r="N54" s="37">
        <f t="shared" si="20"/>
        <v>0</v>
      </c>
      <c r="O54" s="37">
        <f t="shared" si="20"/>
        <v>0</v>
      </c>
      <c r="P54" s="37">
        <f t="shared" si="20"/>
        <v>0</v>
      </c>
      <c r="Q54" s="37">
        <f t="shared" si="20"/>
        <v>0</v>
      </c>
      <c r="R54" s="38"/>
      <c r="S54" s="4">
        <v>47</v>
      </c>
    </row>
    <row r="55" spans="1:19">
      <c r="A55" s="91" t="s">
        <v>68</v>
      </c>
      <c r="B55" s="48">
        <f t="shared" si="16"/>
        <v>12795.399999999998</v>
      </c>
      <c r="C55" s="92"/>
      <c r="D55" s="92"/>
      <c r="E55" s="93"/>
      <c r="F55" s="36">
        <f t="shared" ref="F55:Q55" si="21">F53+F54</f>
        <v>627.59</v>
      </c>
      <c r="G55" s="36">
        <f t="shared" si="21"/>
        <v>6042.1</v>
      </c>
      <c r="H55" s="36">
        <f t="shared" si="21"/>
        <v>8422.39</v>
      </c>
      <c r="I55" s="36">
        <f t="shared" si="21"/>
        <v>12795.399999999998</v>
      </c>
      <c r="J55" s="36">
        <f t="shared" si="21"/>
        <v>12795.399999999998</v>
      </c>
      <c r="K55" s="36">
        <f t="shared" si="21"/>
        <v>12795.399999999998</v>
      </c>
      <c r="L55" s="36">
        <f t="shared" si="21"/>
        <v>12795.399999999998</v>
      </c>
      <c r="M55" s="36">
        <f t="shared" si="21"/>
        <v>12795.399999999998</v>
      </c>
      <c r="N55" s="36">
        <f t="shared" si="21"/>
        <v>12795.399999999998</v>
      </c>
      <c r="O55" s="36">
        <f t="shared" si="21"/>
        <v>12795.399999999998</v>
      </c>
      <c r="P55" s="36">
        <f t="shared" si="21"/>
        <v>12795.399999999998</v>
      </c>
      <c r="Q55" s="36">
        <f t="shared" si="21"/>
        <v>12795.399999999998</v>
      </c>
      <c r="R55" s="38"/>
      <c r="S55" s="4">
        <v>48</v>
      </c>
    </row>
    <row r="56" spans="1:19">
      <c r="A56" s="86" t="s">
        <v>84</v>
      </c>
      <c r="B56" s="88">
        <f t="shared" si="16"/>
        <v>1.0777796495956872E-2</v>
      </c>
      <c r="F56" s="88">
        <f t="shared" ref="F56:Q56" si="22">F53/F51</f>
        <v>5.2863039083557949E-4</v>
      </c>
      <c r="G56" s="88">
        <f t="shared" si="22"/>
        <v>5.0893699460916441E-3</v>
      </c>
      <c r="H56" s="88">
        <f t="shared" si="22"/>
        <v>7.0943311994609163E-3</v>
      </c>
      <c r="I56" s="88">
        <f t="shared" si="22"/>
        <v>1.0777796495956872E-2</v>
      </c>
      <c r="J56" s="88">
        <f t="shared" si="22"/>
        <v>1.0777796495956872E-2</v>
      </c>
      <c r="K56" s="88">
        <f t="shared" si="22"/>
        <v>1.0777796495956872E-2</v>
      </c>
      <c r="L56" s="88">
        <f t="shared" si="22"/>
        <v>1.0777796495956872E-2</v>
      </c>
      <c r="M56" s="88">
        <f t="shared" si="22"/>
        <v>1.0777796495956872E-2</v>
      </c>
      <c r="N56" s="88">
        <f t="shared" si="22"/>
        <v>1.0777796495956872E-2</v>
      </c>
      <c r="O56" s="88">
        <f t="shared" si="22"/>
        <v>1.0777796495956872E-2</v>
      </c>
      <c r="P56" s="88">
        <f t="shared" si="22"/>
        <v>1.0777796495956872E-2</v>
      </c>
      <c r="Q56" s="88">
        <f t="shared" si="22"/>
        <v>1.0777796495956872E-2</v>
      </c>
      <c r="R56" s="39"/>
      <c r="S56" s="4">
        <v>49</v>
      </c>
    </row>
    <row r="57" spans="1:19">
      <c r="A57" s="86" t="s">
        <v>85</v>
      </c>
      <c r="B57" s="88">
        <f t="shared" si="16"/>
        <v>1.0777796495956872E-2</v>
      </c>
      <c r="E57" s="57"/>
      <c r="F57" s="88">
        <f t="shared" ref="F57:Q57" si="23">F55/F51</f>
        <v>5.2863039083557949E-4</v>
      </c>
      <c r="G57" s="88">
        <f t="shared" si="23"/>
        <v>5.0893699460916441E-3</v>
      </c>
      <c r="H57" s="88">
        <f t="shared" si="23"/>
        <v>7.0943311994609163E-3</v>
      </c>
      <c r="I57" s="88">
        <f t="shared" si="23"/>
        <v>1.0777796495956872E-2</v>
      </c>
      <c r="J57" s="88">
        <f t="shared" si="23"/>
        <v>1.0777796495956872E-2</v>
      </c>
      <c r="K57" s="88">
        <f t="shared" si="23"/>
        <v>1.0777796495956872E-2</v>
      </c>
      <c r="L57" s="88">
        <f t="shared" si="23"/>
        <v>1.0777796495956872E-2</v>
      </c>
      <c r="M57" s="88">
        <f t="shared" si="23"/>
        <v>1.0777796495956872E-2</v>
      </c>
      <c r="N57" s="88">
        <f t="shared" si="23"/>
        <v>1.0777796495956872E-2</v>
      </c>
      <c r="O57" s="88">
        <f t="shared" si="23"/>
        <v>1.0777796495956872E-2</v>
      </c>
      <c r="P57" s="88">
        <f t="shared" si="23"/>
        <v>1.0777796495956872E-2</v>
      </c>
      <c r="Q57" s="88">
        <f t="shared" si="23"/>
        <v>1.0777796495956872E-2</v>
      </c>
      <c r="R57" s="39"/>
      <c r="S57" s="4">
        <v>50</v>
      </c>
    </row>
    <row r="58" spans="1:19">
      <c r="A58" s="86" t="s">
        <v>86</v>
      </c>
      <c r="B58" s="88">
        <f t="shared" si="16"/>
        <v>3.2333389487870616E-2</v>
      </c>
      <c r="F58" s="88">
        <f t="shared" ref="F58:Q58" si="24">F53/F52</f>
        <v>6.3435646900269552E-3</v>
      </c>
      <c r="G58" s="88">
        <f t="shared" si="24"/>
        <v>3.0536219676549868E-2</v>
      </c>
      <c r="H58" s="88">
        <f t="shared" si="24"/>
        <v>2.8377324797843665E-2</v>
      </c>
      <c r="I58" s="88">
        <f t="shared" si="24"/>
        <v>3.2333389487870616E-2</v>
      </c>
      <c r="J58" s="88">
        <f t="shared" si="24"/>
        <v>2.5866711590296489E-2</v>
      </c>
      <c r="K58" s="88">
        <f t="shared" si="24"/>
        <v>2.1555592991913744E-2</v>
      </c>
      <c r="L58" s="88">
        <f t="shared" si="24"/>
        <v>1.8476222564497494E-2</v>
      </c>
      <c r="M58" s="88">
        <f t="shared" si="24"/>
        <v>1.6166694743935308E-2</v>
      </c>
      <c r="N58" s="88">
        <f t="shared" si="24"/>
        <v>1.4370395327942495E-2</v>
      </c>
      <c r="O58" s="88">
        <f t="shared" si="24"/>
        <v>1.2933355795148245E-2</v>
      </c>
      <c r="P58" s="88">
        <f t="shared" si="24"/>
        <v>1.1757596177407497E-2</v>
      </c>
      <c r="Q58" s="88">
        <f t="shared" si="24"/>
        <v>1.0777796495956872E-2</v>
      </c>
      <c r="R58" s="39"/>
      <c r="S58" s="4">
        <v>51</v>
      </c>
    </row>
    <row r="59" spans="1:19">
      <c r="A59" s="61" t="s">
        <v>63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39"/>
      <c r="S59" s="4">
        <v>52</v>
      </c>
    </row>
    <row r="60" spans="1:19">
      <c r="A60" s="1" t="s">
        <v>64</v>
      </c>
      <c r="B60" s="33">
        <f>HLOOKUP($B$7,$F$8:$Q$74,S60,FALSE)</f>
        <v>4748800</v>
      </c>
      <c r="F60" s="102">
        <f t="shared" ref="F60:Q60" si="25">SUM($F$4:$I$4)+$F$5</f>
        <v>4748800</v>
      </c>
      <c r="G60" s="102">
        <f t="shared" si="25"/>
        <v>4748800</v>
      </c>
      <c r="H60" s="102">
        <f t="shared" si="25"/>
        <v>4748800</v>
      </c>
      <c r="I60" s="102">
        <f t="shared" si="25"/>
        <v>4748800</v>
      </c>
      <c r="J60" s="102">
        <f t="shared" si="25"/>
        <v>4748800</v>
      </c>
      <c r="K60" s="102">
        <f t="shared" si="25"/>
        <v>4748800</v>
      </c>
      <c r="L60" s="102">
        <f t="shared" si="25"/>
        <v>4748800</v>
      </c>
      <c r="M60" s="102">
        <f t="shared" si="25"/>
        <v>4748800</v>
      </c>
      <c r="N60" s="102">
        <f t="shared" si="25"/>
        <v>4748800</v>
      </c>
      <c r="O60" s="102">
        <f t="shared" si="25"/>
        <v>4748800</v>
      </c>
      <c r="P60" s="102">
        <f t="shared" si="25"/>
        <v>4748800</v>
      </c>
      <c r="Q60" s="102">
        <f t="shared" si="25"/>
        <v>4748800</v>
      </c>
      <c r="R60" s="39"/>
      <c r="S60" s="4">
        <v>53</v>
      </c>
    </row>
    <row r="61" spans="1:19">
      <c r="A61" s="86" t="s">
        <v>70</v>
      </c>
      <c r="B61" s="49">
        <f>HLOOKUP($B$7,$F$8:$Q$74,S61,FALSE)</f>
        <v>12795.399999999998</v>
      </c>
      <c r="F61" s="101">
        <f t="shared" ref="F61:Q61" si="26">F53</f>
        <v>627.59</v>
      </c>
      <c r="G61" s="101">
        <f t="shared" si="26"/>
        <v>6042.1</v>
      </c>
      <c r="H61" s="101">
        <f t="shared" si="26"/>
        <v>8422.39</v>
      </c>
      <c r="I61" s="101">
        <f t="shared" si="26"/>
        <v>12795.399999999998</v>
      </c>
      <c r="J61" s="101">
        <f t="shared" si="26"/>
        <v>12795.399999999998</v>
      </c>
      <c r="K61" s="101">
        <f t="shared" si="26"/>
        <v>12795.399999999998</v>
      </c>
      <c r="L61" s="101">
        <f t="shared" si="26"/>
        <v>12795.399999999998</v>
      </c>
      <c r="M61" s="101">
        <f t="shared" si="26"/>
        <v>12795.399999999998</v>
      </c>
      <c r="N61" s="101">
        <f t="shared" si="26"/>
        <v>12795.399999999998</v>
      </c>
      <c r="O61" s="101">
        <f t="shared" si="26"/>
        <v>12795.399999999998</v>
      </c>
      <c r="P61" s="101">
        <f t="shared" si="26"/>
        <v>12795.399999999998</v>
      </c>
      <c r="Q61" s="101">
        <f t="shared" si="26"/>
        <v>12795.399999999998</v>
      </c>
      <c r="R61" s="39"/>
      <c r="S61" s="4">
        <v>54</v>
      </c>
    </row>
    <row r="62" spans="1:19">
      <c r="A62" s="91" t="s">
        <v>69</v>
      </c>
      <c r="B62" s="48">
        <f>HLOOKUP($B$7,$F$8:$Q$74,S62,FALSE)</f>
        <v>12795.399999999998</v>
      </c>
      <c r="F62" s="35">
        <f t="shared" ref="F62:Q62" si="27">F61+F54</f>
        <v>627.59</v>
      </c>
      <c r="G62" s="35">
        <f t="shared" si="27"/>
        <v>6042.1</v>
      </c>
      <c r="H62" s="35">
        <f t="shared" si="27"/>
        <v>8422.39</v>
      </c>
      <c r="I62" s="35">
        <f t="shared" si="27"/>
        <v>12795.399999999998</v>
      </c>
      <c r="J62" s="35">
        <f t="shared" si="27"/>
        <v>12795.399999999998</v>
      </c>
      <c r="K62" s="35">
        <f t="shared" si="27"/>
        <v>12795.399999999998</v>
      </c>
      <c r="L62" s="35">
        <f t="shared" si="27"/>
        <v>12795.399999999998</v>
      </c>
      <c r="M62" s="35">
        <f t="shared" si="27"/>
        <v>12795.399999999998</v>
      </c>
      <c r="N62" s="35">
        <f t="shared" si="27"/>
        <v>12795.399999999998</v>
      </c>
      <c r="O62" s="35">
        <f t="shared" si="27"/>
        <v>12795.399999999998</v>
      </c>
      <c r="P62" s="35">
        <f t="shared" si="27"/>
        <v>12795.399999999998</v>
      </c>
      <c r="Q62" s="35">
        <f t="shared" si="27"/>
        <v>12795.399999999998</v>
      </c>
      <c r="R62" s="39"/>
      <c r="S62" s="4">
        <v>55</v>
      </c>
    </row>
    <row r="63" spans="1:19">
      <c r="A63" s="86" t="s">
        <v>65</v>
      </c>
      <c r="B63" s="88">
        <f>HLOOKUP($B$7,$F$8:$Q$74,S63,FALSE)</f>
        <v>2.694449123989218E-3</v>
      </c>
      <c r="F63" s="88">
        <f t="shared" ref="F63:Q63" si="28">F61/F60</f>
        <v>1.3215759770889487E-4</v>
      </c>
      <c r="G63" s="88">
        <f t="shared" si="28"/>
        <v>1.272342486522911E-3</v>
      </c>
      <c r="H63" s="88">
        <f t="shared" si="28"/>
        <v>1.7735827998652291E-3</v>
      </c>
      <c r="I63" s="88">
        <f t="shared" si="28"/>
        <v>2.694449123989218E-3</v>
      </c>
      <c r="J63" s="88">
        <f t="shared" si="28"/>
        <v>2.694449123989218E-3</v>
      </c>
      <c r="K63" s="88">
        <f t="shared" si="28"/>
        <v>2.694449123989218E-3</v>
      </c>
      <c r="L63" s="88">
        <f t="shared" si="28"/>
        <v>2.694449123989218E-3</v>
      </c>
      <c r="M63" s="88">
        <f t="shared" si="28"/>
        <v>2.694449123989218E-3</v>
      </c>
      <c r="N63" s="88">
        <f t="shared" si="28"/>
        <v>2.694449123989218E-3</v>
      </c>
      <c r="O63" s="88">
        <f t="shared" si="28"/>
        <v>2.694449123989218E-3</v>
      </c>
      <c r="P63" s="88">
        <f t="shared" si="28"/>
        <v>2.694449123989218E-3</v>
      </c>
      <c r="Q63" s="88">
        <f t="shared" si="28"/>
        <v>2.694449123989218E-3</v>
      </c>
      <c r="R63" s="39"/>
      <c r="S63" s="4">
        <v>56</v>
      </c>
    </row>
    <row r="64" spans="1:19">
      <c r="A64" s="86" t="s">
        <v>66</v>
      </c>
      <c r="B64" s="88">
        <f>HLOOKUP($B$7,$F$8:$Q$74,S64,FALSE)</f>
        <v>2.694449123989218E-3</v>
      </c>
      <c r="F64" s="88">
        <f t="shared" ref="F64:Q64" si="29">F62/F60</f>
        <v>1.3215759770889487E-4</v>
      </c>
      <c r="G64" s="88">
        <f t="shared" si="29"/>
        <v>1.272342486522911E-3</v>
      </c>
      <c r="H64" s="88">
        <f t="shared" si="29"/>
        <v>1.7735827998652291E-3</v>
      </c>
      <c r="I64" s="88">
        <f t="shared" si="29"/>
        <v>2.694449123989218E-3</v>
      </c>
      <c r="J64" s="88">
        <f t="shared" si="29"/>
        <v>2.694449123989218E-3</v>
      </c>
      <c r="K64" s="88">
        <f t="shared" si="29"/>
        <v>2.694449123989218E-3</v>
      </c>
      <c r="L64" s="88">
        <f t="shared" si="29"/>
        <v>2.694449123989218E-3</v>
      </c>
      <c r="M64" s="88">
        <f t="shared" si="29"/>
        <v>2.694449123989218E-3</v>
      </c>
      <c r="N64" s="88">
        <f t="shared" si="29"/>
        <v>2.694449123989218E-3</v>
      </c>
      <c r="O64" s="88">
        <f t="shared" si="29"/>
        <v>2.694449123989218E-3</v>
      </c>
      <c r="P64" s="88">
        <f t="shared" si="29"/>
        <v>2.694449123989218E-3</v>
      </c>
      <c r="Q64" s="88">
        <f t="shared" si="29"/>
        <v>2.694449123989218E-3</v>
      </c>
      <c r="R64" s="39"/>
      <c r="S64" s="4">
        <v>57</v>
      </c>
    </row>
    <row r="65" spans="1:19">
      <c r="A65" s="61" t="s">
        <v>17</v>
      </c>
      <c r="B65" s="59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34"/>
      <c r="S65" s="4">
        <v>58</v>
      </c>
    </row>
    <row r="66" spans="1:19">
      <c r="A66" s="18" t="s">
        <v>18</v>
      </c>
      <c r="B66" s="40">
        <f>HLOOKUP($B$7,$F$8:$Q$74,S66,FALSE)</f>
        <v>0</v>
      </c>
      <c r="E66" s="20" t="s">
        <v>36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34"/>
      <c r="S66" s="4">
        <v>59</v>
      </c>
    </row>
    <row r="67" spans="1:19">
      <c r="A67" s="18" t="s">
        <v>19</v>
      </c>
      <c r="B67" s="40">
        <f>HLOOKUP($B$7,$F$8:$Q$74,S67,FALSE)</f>
        <v>0</v>
      </c>
      <c r="E67" s="20" t="s">
        <v>36</v>
      </c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34"/>
      <c r="S67" s="4">
        <v>60</v>
      </c>
    </row>
    <row r="68" spans="1:19">
      <c r="A68" s="18" t="s">
        <v>20</v>
      </c>
      <c r="B68" s="40">
        <f>HLOOKUP($B$7,$F$8:$Q$74,S68,FALSE)</f>
        <v>0</v>
      </c>
      <c r="E68" s="20" t="s">
        <v>36</v>
      </c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34"/>
      <c r="S68" s="4">
        <v>61</v>
      </c>
    </row>
    <row r="69" spans="1:19">
      <c r="A69" s="18" t="s">
        <v>21</v>
      </c>
      <c r="B69" s="40">
        <f>HLOOKUP($B$7,$F$8:$Q$74,S69,FALSE)</f>
        <v>0</v>
      </c>
      <c r="E69" s="20" t="s">
        <v>37</v>
      </c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34"/>
      <c r="S69" s="4">
        <v>62</v>
      </c>
    </row>
    <row r="70" spans="1:19">
      <c r="A70" s="61" t="s">
        <v>8</v>
      </c>
      <c r="B70" s="59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34"/>
      <c r="S70" s="4">
        <v>63</v>
      </c>
    </row>
    <row r="71" spans="1:19">
      <c r="A71" s="18" t="s">
        <v>1</v>
      </c>
      <c r="B71" s="19">
        <f>HLOOKUP($B$7,$F$8:$Q$74,S71,FALSE)</f>
        <v>0</v>
      </c>
      <c r="E71" s="20" t="s">
        <v>30</v>
      </c>
      <c r="F71" s="7">
        <v>0</v>
      </c>
      <c r="G71" s="7">
        <v>0</v>
      </c>
      <c r="H71" s="7">
        <v>0</v>
      </c>
      <c r="I71" s="7">
        <v>0</v>
      </c>
      <c r="J71" s="7"/>
      <c r="K71" s="7"/>
      <c r="L71" s="7"/>
      <c r="M71" s="7"/>
      <c r="N71" s="7"/>
      <c r="O71" s="7"/>
      <c r="P71" s="7"/>
      <c r="Q71" s="7"/>
      <c r="R71" s="28"/>
      <c r="S71" s="4">
        <v>64</v>
      </c>
    </row>
    <row r="72" spans="1:19">
      <c r="A72" s="18" t="s">
        <v>38</v>
      </c>
      <c r="B72" s="19">
        <f>HLOOKUP($B$7,$F$8:$Q$74,S72,FALSE)</f>
        <v>0</v>
      </c>
      <c r="E72" s="20" t="s">
        <v>30</v>
      </c>
      <c r="F72" s="7">
        <v>0</v>
      </c>
      <c r="G72" s="7">
        <v>0</v>
      </c>
      <c r="H72" s="7">
        <v>0</v>
      </c>
      <c r="I72" s="7">
        <v>0</v>
      </c>
      <c r="J72" s="7"/>
      <c r="K72" s="7"/>
      <c r="L72" s="7"/>
      <c r="M72" s="7"/>
      <c r="N72" s="7"/>
      <c r="O72" s="7"/>
      <c r="P72" s="7"/>
      <c r="Q72" s="7"/>
      <c r="R72" s="28"/>
      <c r="S72" s="4">
        <v>65</v>
      </c>
    </row>
    <row r="73" spans="1:19" s="4" customFormat="1">
      <c r="A73" s="61" t="s">
        <v>32</v>
      </c>
      <c r="B73" s="59"/>
      <c r="C73" s="41"/>
      <c r="E73" s="41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34"/>
      <c r="S73" s="4">
        <v>66</v>
      </c>
    </row>
    <row r="74" spans="1:19" s="4" customFormat="1">
      <c r="A74" s="18" t="s">
        <v>46</v>
      </c>
      <c r="B74" s="19">
        <f>HLOOKUP($B$7,$F$8:$Q$74,S74,FALSE)</f>
        <v>15702</v>
      </c>
      <c r="C74" s="52"/>
      <c r="D74" s="53"/>
      <c r="E74" s="54" t="s">
        <v>34</v>
      </c>
      <c r="F74" s="42">
        <f>F3</f>
        <v>15702</v>
      </c>
      <c r="G74" s="42">
        <f>F74</f>
        <v>15702</v>
      </c>
      <c r="H74" s="43">
        <f>G74</f>
        <v>15702</v>
      </c>
      <c r="I74" s="42">
        <f>H74</f>
        <v>15702</v>
      </c>
      <c r="J74" s="42"/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8"/>
      <c r="S74" s="4">
        <v>67</v>
      </c>
    </row>
    <row r="75" spans="1:19" s="168" customFormat="1" ht="15" customHeight="1">
      <c r="A75" s="165" t="s">
        <v>157</v>
      </c>
      <c r="B75" s="120">
        <f>HLOOKUP($B$7,$F$8:$Q$75,S75,FALSE)</f>
        <v>0</v>
      </c>
      <c r="C75" s="166"/>
      <c r="D75" s="166"/>
      <c r="E75" s="169" t="s">
        <v>34</v>
      </c>
      <c r="F75" s="42">
        <v>0</v>
      </c>
      <c r="G75" s="42">
        <v>0</v>
      </c>
      <c r="H75" s="118">
        <f>G75</f>
        <v>0</v>
      </c>
      <c r="I75" s="119">
        <f>H75</f>
        <v>0</v>
      </c>
      <c r="J75" s="119"/>
      <c r="K75" s="118"/>
      <c r="L75" s="119">
        <f>K75</f>
        <v>0</v>
      </c>
      <c r="M75" s="119">
        <f>K75</f>
        <v>0</v>
      </c>
      <c r="N75" s="118"/>
      <c r="O75" s="119">
        <f>N75</f>
        <v>0</v>
      </c>
      <c r="P75" s="119">
        <f>N75</f>
        <v>0</v>
      </c>
      <c r="Q75" s="118"/>
      <c r="R75" s="170"/>
      <c r="S75" s="168">
        <v>68</v>
      </c>
    </row>
    <row r="76" spans="1:19" s="4" customFormat="1" ht="15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</row>
    <row r="77" spans="1:19" s="4" customFormat="1">
      <c r="A77" s="72" t="s">
        <v>43</v>
      </c>
      <c r="B77" s="69"/>
      <c r="C77" s="41"/>
    </row>
    <row r="78" spans="1:19" s="4" customFormat="1">
      <c r="A78" s="61" t="s">
        <v>31</v>
      </c>
      <c r="B78" s="12"/>
      <c r="C78" s="41"/>
    </row>
    <row r="79" spans="1:19" s="4" customFormat="1">
      <c r="A79" s="112">
        <f>VLOOKUP(B7,E88:T99,2,FALSE)</f>
        <v>0</v>
      </c>
      <c r="B79" s="71"/>
      <c r="C79" s="41"/>
    </row>
    <row r="80" spans="1:19" s="4" customFormat="1">
      <c r="A80" s="61" t="s">
        <v>40</v>
      </c>
      <c r="B80" s="12"/>
      <c r="C80" s="41"/>
    </row>
    <row r="81" spans="1:20" s="4" customFormat="1">
      <c r="A81" s="84">
        <f>VLOOKUP(B7,E88:T99,6,FALSE)</f>
        <v>0</v>
      </c>
      <c r="B81" s="71"/>
      <c r="C81" s="41"/>
    </row>
    <row r="82" spans="1:20" s="4" customFormat="1">
      <c r="A82" s="61" t="s">
        <v>44</v>
      </c>
      <c r="B82" s="12"/>
      <c r="C82" s="41"/>
    </row>
    <row r="83" spans="1:20" s="4" customFormat="1">
      <c r="A83" s="84">
        <f>VLOOKUP(B7,E88:T99,10,FALSE)</f>
        <v>0</v>
      </c>
      <c r="B83" s="78"/>
      <c r="C83" s="41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172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1:20"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</row>
    <row r="87" spans="1:20"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5"/>
      <c r="S88" s="175"/>
      <c r="T88" s="175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5"/>
      <c r="S89" s="175"/>
      <c r="T89" s="175"/>
    </row>
    <row r="90" spans="1:20">
      <c r="D90" s="41"/>
      <c r="E90" s="14">
        <v>40969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5"/>
      <c r="S90" s="175"/>
      <c r="T90" s="175"/>
    </row>
    <row r="91" spans="1:20">
      <c r="D91" s="41"/>
      <c r="E91" s="14">
        <v>41000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5"/>
      <c r="S91" s="175"/>
      <c r="T91" s="175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5"/>
      <c r="S92" s="175"/>
      <c r="T92" s="175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5"/>
      <c r="S93" s="175"/>
      <c r="T93" s="175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5"/>
      <c r="S94" s="175"/>
      <c r="T94" s="175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5"/>
      <c r="S95" s="175"/>
      <c r="T95" s="175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5"/>
      <c r="S96" s="175"/>
      <c r="T96" s="175"/>
    </row>
    <row r="97" spans="4:20" s="3" customFormat="1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5"/>
      <c r="S97" s="175"/>
      <c r="T97" s="175"/>
    </row>
    <row r="98" spans="4:20" s="3" customFormat="1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5"/>
      <c r="S98" s="175"/>
      <c r="T98" s="175"/>
    </row>
    <row r="99" spans="4:20" s="3" customFormat="1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5"/>
      <c r="S99" s="175"/>
      <c r="T99" s="175"/>
    </row>
    <row r="100" spans="4:20" s="3" customFormat="1">
      <c r="D100" s="4"/>
      <c r="E100" s="4"/>
    </row>
  </sheetData>
  <mergeCells count="54">
    <mergeCell ref="J90:M90"/>
    <mergeCell ref="N90:Q90"/>
    <mergeCell ref="F91:I91"/>
    <mergeCell ref="J91:M91"/>
    <mergeCell ref="N91:Q91"/>
    <mergeCell ref="F90:I90"/>
    <mergeCell ref="J92:M92"/>
    <mergeCell ref="N92:Q92"/>
    <mergeCell ref="F93:I93"/>
    <mergeCell ref="J93:M93"/>
    <mergeCell ref="N93:Q93"/>
    <mergeCell ref="F92:I92"/>
    <mergeCell ref="J96:M96"/>
    <mergeCell ref="N96:Q96"/>
    <mergeCell ref="F97:I97"/>
    <mergeCell ref="J97:M97"/>
    <mergeCell ref="N97:Q97"/>
    <mergeCell ref="F96:I96"/>
    <mergeCell ref="J94:M94"/>
    <mergeCell ref="N94:Q94"/>
    <mergeCell ref="F95:I95"/>
    <mergeCell ref="J95:M95"/>
    <mergeCell ref="N95:Q95"/>
    <mergeCell ref="F94:I94"/>
    <mergeCell ref="F98:I98"/>
    <mergeCell ref="J98:M98"/>
    <mergeCell ref="N98:Q98"/>
    <mergeCell ref="F99:I99"/>
    <mergeCell ref="J99:M99"/>
    <mergeCell ref="N99:Q99"/>
    <mergeCell ref="R90:T90"/>
    <mergeCell ref="R91:T91"/>
    <mergeCell ref="D1:G1"/>
    <mergeCell ref="J87:M87"/>
    <mergeCell ref="N87:Q87"/>
    <mergeCell ref="J88:M88"/>
    <mergeCell ref="N88:Q88"/>
    <mergeCell ref="F88:I88"/>
    <mergeCell ref="D85:H85"/>
    <mergeCell ref="F87:I87"/>
    <mergeCell ref="F89:I89"/>
    <mergeCell ref="R87:T87"/>
    <mergeCell ref="R88:T88"/>
    <mergeCell ref="R89:T89"/>
    <mergeCell ref="J89:M89"/>
    <mergeCell ref="N89:Q89"/>
    <mergeCell ref="R97:T97"/>
    <mergeCell ref="R98:T98"/>
    <mergeCell ref="R99:T99"/>
    <mergeCell ref="R92:T92"/>
    <mergeCell ref="R93:T93"/>
    <mergeCell ref="R94:T94"/>
    <mergeCell ref="R95:T95"/>
    <mergeCell ref="R96:T96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99"/>
  <sheetViews>
    <sheetView topLeftCell="A41" zoomScaleNormal="100" workbookViewId="0">
      <pane xSplit="1" topLeftCell="B1" activePane="topRight" state="frozen"/>
      <selection activeCell="A89" sqref="A89"/>
      <selection pane="topRight" activeCell="I72" sqref="I72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17" width="15.7109375" style="3" customWidth="1"/>
    <col min="18" max="18" width="15.7109375" style="63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08" t="s">
        <v>128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110</v>
      </c>
      <c r="C3" s="6"/>
      <c r="E3" s="111" t="s">
        <v>114</v>
      </c>
      <c r="F3" s="109">
        <v>1873</v>
      </c>
      <c r="G3" s="109">
        <v>1873</v>
      </c>
      <c r="H3" s="109">
        <v>1873</v>
      </c>
      <c r="I3" s="109">
        <v>1873</v>
      </c>
    </row>
    <row r="4" spans="1:19">
      <c r="A4" s="1" t="s">
        <v>9</v>
      </c>
      <c r="B4" s="113">
        <v>40957</v>
      </c>
      <c r="C4" s="8"/>
      <c r="E4" s="111" t="s">
        <v>74</v>
      </c>
      <c r="F4" s="110">
        <v>4046663</v>
      </c>
      <c r="G4" s="110">
        <v>4046663</v>
      </c>
      <c r="H4" s="110">
        <v>4046663</v>
      </c>
      <c r="I4" s="110">
        <v>4046663</v>
      </c>
      <c r="J4" s="10"/>
      <c r="K4" s="10"/>
      <c r="L4" s="10"/>
      <c r="M4" s="10"/>
      <c r="N4" s="10"/>
      <c r="O4" s="10"/>
      <c r="P4" s="10"/>
      <c r="Q4" s="10"/>
      <c r="R4" s="116"/>
    </row>
    <row r="5" spans="1:19">
      <c r="A5" s="46" t="s">
        <v>10</v>
      </c>
      <c r="B5" s="114">
        <v>39948</v>
      </c>
      <c r="C5" s="8"/>
      <c r="E5" s="111" t="s">
        <v>93</v>
      </c>
      <c r="F5" s="1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6"/>
    </row>
    <row r="6" spans="1:19">
      <c r="A6" s="1" t="s">
        <v>99</v>
      </c>
      <c r="B6" s="113">
        <v>40909</v>
      </c>
      <c r="C6" s="8"/>
      <c r="E6" s="5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6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6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4">
        <v>3</v>
      </c>
    </row>
    <row r="11" spans="1:19">
      <c r="A11" s="18" t="s">
        <v>22</v>
      </c>
      <c r="B11" s="19">
        <f>HLOOKUP($B$7,$F$8:$Q$74,S11,FALSE)</f>
        <v>121.46997500000026</v>
      </c>
      <c r="E11" s="20" t="s">
        <v>28</v>
      </c>
      <c r="F11" s="7">
        <v>0</v>
      </c>
      <c r="G11" s="7">
        <v>17.369964000000003</v>
      </c>
      <c r="H11" s="7">
        <v>51.291622000000004</v>
      </c>
      <c r="I11" s="7">
        <v>121.46997500000026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190.13156100000026</v>
      </c>
      <c r="S11" s="4">
        <v>4</v>
      </c>
    </row>
    <row r="12" spans="1:19">
      <c r="A12" s="18" t="s">
        <v>109</v>
      </c>
      <c r="B12" s="75">
        <f>HLOOKUP($B$7,$F$8:$Q$74,S12,FALSE)</f>
        <v>8.7916000000000105E-2</v>
      </c>
      <c r="E12" s="20" t="s">
        <v>28</v>
      </c>
      <c r="F12" s="81">
        <v>0</v>
      </c>
      <c r="G12" s="81">
        <v>1.1358000000000002E-2</v>
      </c>
      <c r="H12" s="81">
        <v>2.3372999999999998E-2</v>
      </c>
      <c r="I12" s="81">
        <v>8.7916000000000105E-2</v>
      </c>
      <c r="J12" s="81"/>
      <c r="K12" s="81"/>
      <c r="L12" s="81"/>
      <c r="M12" s="81"/>
      <c r="N12" s="81"/>
      <c r="O12" s="81"/>
      <c r="P12" s="81"/>
      <c r="Q12" s="81"/>
      <c r="R12" s="80">
        <f>SUM(F12:Q12)</f>
        <v>0.1226470000000001</v>
      </c>
      <c r="S12" s="4">
        <v>5</v>
      </c>
    </row>
    <row r="13" spans="1:19">
      <c r="A13" s="18" t="s">
        <v>23</v>
      </c>
      <c r="B13" s="19">
        <f>HLOOKUP($B$7,$F$8:$Q$74,S13,FALSE)</f>
        <v>0</v>
      </c>
      <c r="E13" s="20" t="s">
        <v>28</v>
      </c>
      <c r="F13" s="7">
        <v>0</v>
      </c>
      <c r="G13" s="7">
        <v>0</v>
      </c>
      <c r="H13" s="7">
        <v>0</v>
      </c>
      <c r="I13" s="7">
        <v>0</v>
      </c>
      <c r="J13" s="7"/>
      <c r="K13" s="7"/>
      <c r="L13" s="7"/>
      <c r="M13" s="7"/>
      <c r="N13" s="7"/>
      <c r="O13" s="7"/>
      <c r="P13" s="7"/>
      <c r="Q13" s="7"/>
      <c r="R13" s="24">
        <f>SUM(F13:Q13)</f>
        <v>0</v>
      </c>
      <c r="S13" s="4">
        <v>6</v>
      </c>
    </row>
    <row r="14" spans="1:19">
      <c r="A14" s="61" t="s">
        <v>88</v>
      </c>
      <c r="B14" s="59"/>
      <c r="E14" s="5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  <c r="S14" s="4">
        <v>7</v>
      </c>
    </row>
    <row r="15" spans="1:19">
      <c r="A15" s="1" t="s">
        <v>87</v>
      </c>
      <c r="B15" s="23">
        <f t="shared" ref="B15:B22" si="0">HLOOKUP($B$7,$F$8:$Q$74,S15,FALSE)</f>
        <v>1873</v>
      </c>
      <c r="E15" s="5"/>
      <c r="F15" s="24">
        <f t="shared" ref="F15:Q15" si="1">$F$3</f>
        <v>1873</v>
      </c>
      <c r="G15" s="24">
        <f t="shared" si="1"/>
        <v>1873</v>
      </c>
      <c r="H15" s="24">
        <f t="shared" si="1"/>
        <v>1873</v>
      </c>
      <c r="I15" s="24">
        <f t="shared" si="1"/>
        <v>1873</v>
      </c>
      <c r="J15" s="24">
        <f t="shared" si="1"/>
        <v>1873</v>
      </c>
      <c r="K15" s="24">
        <f t="shared" si="1"/>
        <v>1873</v>
      </c>
      <c r="L15" s="24">
        <f t="shared" si="1"/>
        <v>1873</v>
      </c>
      <c r="M15" s="24">
        <f t="shared" si="1"/>
        <v>1873</v>
      </c>
      <c r="N15" s="24">
        <f t="shared" si="1"/>
        <v>1873</v>
      </c>
      <c r="O15" s="24">
        <f t="shared" si="1"/>
        <v>1873</v>
      </c>
      <c r="P15" s="24">
        <f t="shared" si="1"/>
        <v>1873</v>
      </c>
      <c r="Q15" s="24">
        <f t="shared" si="1"/>
        <v>1873</v>
      </c>
      <c r="R15" s="25"/>
      <c r="S15" s="4">
        <v>8</v>
      </c>
    </row>
    <row r="16" spans="1:19">
      <c r="A16" s="1" t="s">
        <v>89</v>
      </c>
      <c r="B16" s="23">
        <f t="shared" si="0"/>
        <v>624.33333333333326</v>
      </c>
      <c r="E16" s="5"/>
      <c r="F16" s="24">
        <f t="shared" ref="F16:Q16" si="2">F15*(F9/12)</f>
        <v>156.08333333333331</v>
      </c>
      <c r="G16" s="24">
        <f t="shared" si="2"/>
        <v>312.16666666666663</v>
      </c>
      <c r="H16" s="24">
        <f t="shared" si="2"/>
        <v>468.25</v>
      </c>
      <c r="I16" s="24">
        <f t="shared" si="2"/>
        <v>624.33333333333326</v>
      </c>
      <c r="J16" s="24">
        <f t="shared" si="2"/>
        <v>780.41666666666674</v>
      </c>
      <c r="K16" s="24">
        <f t="shared" si="2"/>
        <v>936.5</v>
      </c>
      <c r="L16" s="24">
        <f t="shared" si="2"/>
        <v>1092.5833333333335</v>
      </c>
      <c r="M16" s="24">
        <f t="shared" si="2"/>
        <v>1248.6666666666665</v>
      </c>
      <c r="N16" s="24">
        <f t="shared" si="2"/>
        <v>1404.75</v>
      </c>
      <c r="O16" s="24">
        <f t="shared" si="2"/>
        <v>1560.8333333333335</v>
      </c>
      <c r="P16" s="24">
        <f t="shared" si="2"/>
        <v>1716.9166666666665</v>
      </c>
      <c r="Q16" s="24">
        <f t="shared" si="2"/>
        <v>1873</v>
      </c>
      <c r="R16" s="25"/>
      <c r="S16" s="4">
        <v>9</v>
      </c>
    </row>
    <row r="17" spans="1:19">
      <c r="A17" s="86" t="s">
        <v>82</v>
      </c>
      <c r="B17" s="19">
        <f t="shared" si="0"/>
        <v>190.13156100000026</v>
      </c>
      <c r="E17" s="5"/>
      <c r="F17" s="21">
        <f>F11</f>
        <v>0</v>
      </c>
      <c r="G17" s="21">
        <f>F17+G11</f>
        <v>17.369964000000003</v>
      </c>
      <c r="H17" s="21">
        <f t="shared" ref="H17:Q17" si="3">G17+H11</f>
        <v>68.661586</v>
      </c>
      <c r="I17" s="21">
        <f t="shared" si="3"/>
        <v>190.13156100000026</v>
      </c>
      <c r="J17" s="21">
        <f t="shared" si="3"/>
        <v>190.13156100000026</v>
      </c>
      <c r="K17" s="21">
        <f t="shared" si="3"/>
        <v>190.13156100000026</v>
      </c>
      <c r="L17" s="21">
        <f t="shared" si="3"/>
        <v>190.13156100000026</v>
      </c>
      <c r="M17" s="21">
        <f t="shared" si="3"/>
        <v>190.13156100000026</v>
      </c>
      <c r="N17" s="21">
        <f t="shared" si="3"/>
        <v>190.13156100000026</v>
      </c>
      <c r="O17" s="21">
        <f t="shared" si="3"/>
        <v>190.13156100000026</v>
      </c>
      <c r="P17" s="21">
        <f t="shared" si="3"/>
        <v>190.13156100000026</v>
      </c>
      <c r="Q17" s="21">
        <f t="shared" si="3"/>
        <v>190.13156100000026</v>
      </c>
      <c r="R17" s="65"/>
      <c r="S17" s="4">
        <v>10</v>
      </c>
    </row>
    <row r="18" spans="1:19">
      <c r="A18" s="86" t="s">
        <v>14</v>
      </c>
      <c r="B18" s="19">
        <f t="shared" si="0"/>
        <v>9.6862860000000026</v>
      </c>
      <c r="E18" s="20" t="s">
        <v>30</v>
      </c>
      <c r="F18" s="7">
        <v>0</v>
      </c>
      <c r="G18" s="7">
        <v>15.096924000000001</v>
      </c>
      <c r="H18" s="7">
        <v>27.620927999999999</v>
      </c>
      <c r="I18" s="7">
        <v>9.6862860000000026</v>
      </c>
      <c r="J18" s="7"/>
      <c r="K18" s="7"/>
      <c r="L18" s="7"/>
      <c r="M18" s="7"/>
      <c r="N18" s="7"/>
      <c r="O18" s="7"/>
      <c r="P18" s="7"/>
      <c r="Q18" s="7"/>
      <c r="R18" s="65"/>
      <c r="S18" s="4">
        <v>11</v>
      </c>
    </row>
    <row r="19" spans="1:19">
      <c r="A19" s="87" t="s">
        <v>47</v>
      </c>
      <c r="B19" s="51">
        <f t="shared" si="0"/>
        <v>199.81784700000026</v>
      </c>
      <c r="C19" s="92"/>
      <c r="D19" s="92"/>
      <c r="E19" s="92"/>
      <c r="F19" s="26">
        <f t="shared" ref="F19:Q19" si="4">F17+F18</f>
        <v>0</v>
      </c>
      <c r="G19" s="26">
        <f t="shared" si="4"/>
        <v>32.466888000000004</v>
      </c>
      <c r="H19" s="26">
        <f t="shared" si="4"/>
        <v>96.282513999999992</v>
      </c>
      <c r="I19" s="26">
        <f t="shared" si="4"/>
        <v>199.81784700000026</v>
      </c>
      <c r="J19" s="26">
        <f t="shared" si="4"/>
        <v>190.13156100000026</v>
      </c>
      <c r="K19" s="26">
        <f t="shared" si="4"/>
        <v>190.13156100000026</v>
      </c>
      <c r="L19" s="26">
        <f t="shared" si="4"/>
        <v>190.13156100000026</v>
      </c>
      <c r="M19" s="26">
        <f t="shared" si="4"/>
        <v>190.13156100000026</v>
      </c>
      <c r="N19" s="26">
        <f t="shared" si="4"/>
        <v>190.13156100000026</v>
      </c>
      <c r="O19" s="26">
        <f t="shared" si="4"/>
        <v>190.13156100000026</v>
      </c>
      <c r="P19" s="26">
        <f t="shared" si="4"/>
        <v>190.13156100000026</v>
      </c>
      <c r="Q19" s="26">
        <f t="shared" si="4"/>
        <v>190.13156100000026</v>
      </c>
      <c r="R19" s="25"/>
      <c r="S19" s="4">
        <v>12</v>
      </c>
    </row>
    <row r="20" spans="1:19">
      <c r="A20" s="86" t="s">
        <v>24</v>
      </c>
      <c r="B20" s="88">
        <f t="shared" si="0"/>
        <v>0.10151177843032581</v>
      </c>
      <c r="F20" s="88">
        <f>F17/F15</f>
        <v>0</v>
      </c>
      <c r="G20" s="88">
        <f t="shared" ref="G20:Q20" si="5">G17/G15</f>
        <v>9.273872931126536E-3</v>
      </c>
      <c r="H20" s="88">
        <f t="shared" si="5"/>
        <v>3.6658615056059794E-2</v>
      </c>
      <c r="I20" s="88">
        <f t="shared" si="5"/>
        <v>0.10151177843032581</v>
      </c>
      <c r="J20" s="88">
        <f t="shared" si="5"/>
        <v>0.10151177843032581</v>
      </c>
      <c r="K20" s="88">
        <f t="shared" si="5"/>
        <v>0.10151177843032581</v>
      </c>
      <c r="L20" s="88">
        <f t="shared" si="5"/>
        <v>0.10151177843032581</v>
      </c>
      <c r="M20" s="88">
        <f t="shared" si="5"/>
        <v>0.10151177843032581</v>
      </c>
      <c r="N20" s="88">
        <f t="shared" si="5"/>
        <v>0.10151177843032581</v>
      </c>
      <c r="O20" s="88">
        <f t="shared" si="5"/>
        <v>0.10151177843032581</v>
      </c>
      <c r="P20" s="88">
        <f t="shared" si="5"/>
        <v>0.10151177843032581</v>
      </c>
      <c r="Q20" s="88">
        <f t="shared" si="5"/>
        <v>0.10151177843032581</v>
      </c>
      <c r="R20" s="97"/>
      <c r="S20" s="4">
        <v>13</v>
      </c>
    </row>
    <row r="21" spans="1:19">
      <c r="A21" s="86" t="s">
        <v>48</v>
      </c>
      <c r="B21" s="88">
        <f t="shared" si="0"/>
        <v>0.10668331393486399</v>
      </c>
      <c r="F21" s="88">
        <f t="shared" ref="F21:Q21" si="6">F19/F15</f>
        <v>0</v>
      </c>
      <c r="G21" s="88">
        <f t="shared" si="6"/>
        <v>1.7334163374265885E-2</v>
      </c>
      <c r="H21" s="88">
        <f t="shared" si="6"/>
        <v>5.1405506673785364E-2</v>
      </c>
      <c r="I21" s="88">
        <f t="shared" si="6"/>
        <v>0.10668331393486399</v>
      </c>
      <c r="J21" s="88">
        <f t="shared" si="6"/>
        <v>0.10151177843032581</v>
      </c>
      <c r="K21" s="88">
        <f t="shared" si="6"/>
        <v>0.10151177843032581</v>
      </c>
      <c r="L21" s="88">
        <f t="shared" si="6"/>
        <v>0.10151177843032581</v>
      </c>
      <c r="M21" s="88">
        <f t="shared" si="6"/>
        <v>0.10151177843032581</v>
      </c>
      <c r="N21" s="88">
        <f t="shared" si="6"/>
        <v>0.10151177843032581</v>
      </c>
      <c r="O21" s="88">
        <f t="shared" si="6"/>
        <v>0.10151177843032581</v>
      </c>
      <c r="P21" s="88">
        <f t="shared" si="6"/>
        <v>0.10151177843032581</v>
      </c>
      <c r="Q21" s="88">
        <f t="shared" si="6"/>
        <v>0.10151177843032581</v>
      </c>
      <c r="R21" s="97"/>
      <c r="S21" s="4">
        <v>14</v>
      </c>
    </row>
    <row r="22" spans="1:19">
      <c r="A22" s="86" t="s">
        <v>25</v>
      </c>
      <c r="B22" s="88">
        <f t="shared" si="0"/>
        <v>0.30453533529097748</v>
      </c>
      <c r="F22" s="88">
        <f t="shared" ref="F22:Q22" si="7">F17/F16</f>
        <v>0</v>
      </c>
      <c r="G22" s="88">
        <f t="shared" si="7"/>
        <v>5.564323758675923E-2</v>
      </c>
      <c r="H22" s="88">
        <f t="shared" si="7"/>
        <v>0.14663446022423918</v>
      </c>
      <c r="I22" s="88">
        <f t="shared" si="7"/>
        <v>0.30453533529097748</v>
      </c>
      <c r="J22" s="88">
        <f t="shared" si="7"/>
        <v>0.24362826823278194</v>
      </c>
      <c r="K22" s="88">
        <f t="shared" si="7"/>
        <v>0.20302355686065163</v>
      </c>
      <c r="L22" s="88">
        <f t="shared" si="7"/>
        <v>0.17402019159484425</v>
      </c>
      <c r="M22" s="88">
        <f t="shared" si="7"/>
        <v>0.15226766764548874</v>
      </c>
      <c r="N22" s="88">
        <f t="shared" si="7"/>
        <v>0.13534903790710109</v>
      </c>
      <c r="O22" s="88">
        <f t="shared" si="7"/>
        <v>0.12181413411639097</v>
      </c>
      <c r="P22" s="88">
        <f t="shared" si="7"/>
        <v>0.11074012192399181</v>
      </c>
      <c r="Q22" s="88">
        <f t="shared" si="7"/>
        <v>0.10151177843032581</v>
      </c>
      <c r="R22" s="97"/>
      <c r="S22" s="4">
        <v>15</v>
      </c>
    </row>
    <row r="23" spans="1:19">
      <c r="A23" s="61" t="s">
        <v>90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5"/>
      <c r="S23" s="4">
        <v>16</v>
      </c>
    </row>
    <row r="24" spans="1:19">
      <c r="A24" s="86" t="s">
        <v>83</v>
      </c>
      <c r="B24" s="75">
        <f>HLOOKUP($B$7,$F$8:$Q$74,S24,FALSE)</f>
        <v>0.1226470000000001</v>
      </c>
      <c r="E24" s="76"/>
      <c r="F24" s="75">
        <f>F12</f>
        <v>0</v>
      </c>
      <c r="G24" s="75">
        <f t="shared" ref="G24:Q24" si="8">F24+G12</f>
        <v>1.1358000000000002E-2</v>
      </c>
      <c r="H24" s="75">
        <f t="shared" si="8"/>
        <v>3.4730999999999998E-2</v>
      </c>
      <c r="I24" s="75">
        <f t="shared" si="8"/>
        <v>0.1226470000000001</v>
      </c>
      <c r="J24" s="75">
        <f t="shared" si="8"/>
        <v>0.1226470000000001</v>
      </c>
      <c r="K24" s="75">
        <f t="shared" si="8"/>
        <v>0.1226470000000001</v>
      </c>
      <c r="L24" s="75">
        <f t="shared" si="8"/>
        <v>0.1226470000000001</v>
      </c>
      <c r="M24" s="75">
        <f t="shared" si="8"/>
        <v>0.1226470000000001</v>
      </c>
      <c r="N24" s="75">
        <f t="shared" si="8"/>
        <v>0.1226470000000001</v>
      </c>
      <c r="O24" s="75">
        <f t="shared" si="8"/>
        <v>0.1226470000000001</v>
      </c>
      <c r="P24" s="75">
        <f t="shared" si="8"/>
        <v>0.1226470000000001</v>
      </c>
      <c r="Q24" s="75">
        <f t="shared" si="8"/>
        <v>0.1226470000000001</v>
      </c>
      <c r="R24" s="25"/>
      <c r="S24" s="4">
        <v>17</v>
      </c>
    </row>
    <row r="25" spans="1:19">
      <c r="A25" s="86" t="s">
        <v>15</v>
      </c>
      <c r="B25" s="75">
        <f>HLOOKUP($B$7,$F$8:$Q$74,S25,FALSE)</f>
        <v>5.7959999999999991E-3</v>
      </c>
      <c r="E25" s="20" t="s">
        <v>30</v>
      </c>
      <c r="F25" s="81">
        <v>0</v>
      </c>
      <c r="G25" s="81">
        <v>7.3170000000000015E-3</v>
      </c>
      <c r="H25" s="81">
        <v>1.7270999999999998E-2</v>
      </c>
      <c r="I25" s="81">
        <v>5.7959999999999991E-3</v>
      </c>
      <c r="J25" s="81"/>
      <c r="K25" s="81"/>
      <c r="L25" s="81"/>
      <c r="M25" s="81"/>
      <c r="N25" s="81"/>
      <c r="O25" s="81"/>
      <c r="P25" s="81"/>
      <c r="Q25" s="81"/>
      <c r="R25" s="25"/>
      <c r="S25" s="4">
        <v>18</v>
      </c>
    </row>
    <row r="26" spans="1:19">
      <c r="A26" s="89" t="s">
        <v>26</v>
      </c>
      <c r="B26" s="83">
        <f>HLOOKUP($B$7,$F$8:$Q$74,S26,FALSE)</f>
        <v>0.12844300000000011</v>
      </c>
      <c r="C26" s="92"/>
      <c r="D26" s="92"/>
      <c r="E26" s="99"/>
      <c r="F26" s="83">
        <f t="shared" ref="F26:Q26" si="9">F24+F25</f>
        <v>0</v>
      </c>
      <c r="G26" s="83">
        <f t="shared" si="9"/>
        <v>1.8675000000000004E-2</v>
      </c>
      <c r="H26" s="83">
        <f t="shared" si="9"/>
        <v>5.2001999999999993E-2</v>
      </c>
      <c r="I26" s="83">
        <f t="shared" si="9"/>
        <v>0.12844300000000011</v>
      </c>
      <c r="J26" s="83">
        <f t="shared" si="9"/>
        <v>0.1226470000000001</v>
      </c>
      <c r="K26" s="83">
        <f t="shared" si="9"/>
        <v>0.1226470000000001</v>
      </c>
      <c r="L26" s="83">
        <f t="shared" si="9"/>
        <v>0.1226470000000001</v>
      </c>
      <c r="M26" s="83">
        <f t="shared" si="9"/>
        <v>0.1226470000000001</v>
      </c>
      <c r="N26" s="83">
        <f t="shared" si="9"/>
        <v>0.1226470000000001</v>
      </c>
      <c r="O26" s="83">
        <f t="shared" si="9"/>
        <v>0.1226470000000001</v>
      </c>
      <c r="P26" s="83">
        <f t="shared" si="9"/>
        <v>0.1226470000000001</v>
      </c>
      <c r="Q26" s="83">
        <f t="shared" si="9"/>
        <v>0.1226470000000001</v>
      </c>
      <c r="R26" s="25"/>
      <c r="S26" s="4">
        <v>19</v>
      </c>
    </row>
    <row r="27" spans="1:19">
      <c r="A27" s="61" t="s">
        <v>91</v>
      </c>
      <c r="B27" s="5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  <c r="S27" s="4">
        <v>20</v>
      </c>
    </row>
    <row r="28" spans="1:19">
      <c r="A28" s="86" t="s">
        <v>79</v>
      </c>
      <c r="B28" s="19">
        <f>HLOOKUP($B$7,$F$8:$Q$74,S28,FALSE)</f>
        <v>0</v>
      </c>
      <c r="F28" s="29">
        <f>F13</f>
        <v>0</v>
      </c>
      <c r="G28" s="29">
        <f t="shared" ref="G28:Q28" si="10">F28+G13</f>
        <v>0</v>
      </c>
      <c r="H28" s="29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10"/>
        <v>0</v>
      </c>
      <c r="O28" s="29">
        <f t="shared" si="10"/>
        <v>0</v>
      </c>
      <c r="P28" s="29">
        <f t="shared" si="10"/>
        <v>0</v>
      </c>
      <c r="Q28" s="29">
        <f t="shared" si="10"/>
        <v>0</v>
      </c>
      <c r="R28" s="64"/>
      <c r="S28" s="4">
        <v>21</v>
      </c>
    </row>
    <row r="29" spans="1:19">
      <c r="A29" s="86" t="s">
        <v>11</v>
      </c>
      <c r="B29" s="19">
        <f>HLOOKUP($B$7,$F$8:$Q$74,S29,FALSE)</f>
        <v>0</v>
      </c>
      <c r="E29" s="20" t="s">
        <v>30</v>
      </c>
      <c r="F29" s="7">
        <v>0</v>
      </c>
      <c r="G29" s="7">
        <v>0</v>
      </c>
      <c r="H29" s="7">
        <v>0</v>
      </c>
      <c r="I29" s="7"/>
      <c r="J29" s="7"/>
      <c r="K29" s="7"/>
      <c r="L29" s="7"/>
      <c r="M29" s="7"/>
      <c r="N29" s="7"/>
      <c r="O29" s="7"/>
      <c r="P29" s="7"/>
      <c r="Q29" s="7"/>
      <c r="R29" s="64"/>
      <c r="S29" s="4">
        <v>22</v>
      </c>
    </row>
    <row r="30" spans="1:19">
      <c r="A30" s="89" t="s">
        <v>45</v>
      </c>
      <c r="B30" s="51">
        <f>HLOOKUP($B$7,$F$8:$Q$74,S30,FALSE)</f>
        <v>0</v>
      </c>
      <c r="C30" s="92"/>
      <c r="D30" s="92"/>
      <c r="E30" s="92"/>
      <c r="F30" s="95">
        <f t="shared" ref="F30:Q30" si="11">F28+F29</f>
        <v>0</v>
      </c>
      <c r="G30" s="95">
        <f t="shared" si="11"/>
        <v>0</v>
      </c>
      <c r="H30" s="95">
        <f t="shared" si="11"/>
        <v>0</v>
      </c>
      <c r="I30" s="95">
        <f t="shared" si="11"/>
        <v>0</v>
      </c>
      <c r="J30" s="95">
        <f t="shared" si="11"/>
        <v>0</v>
      </c>
      <c r="K30" s="95">
        <f t="shared" si="11"/>
        <v>0</v>
      </c>
      <c r="L30" s="95">
        <f t="shared" si="11"/>
        <v>0</v>
      </c>
      <c r="M30" s="95">
        <f t="shared" si="11"/>
        <v>0</v>
      </c>
      <c r="N30" s="95">
        <f t="shared" si="11"/>
        <v>0</v>
      </c>
      <c r="O30" s="95">
        <f t="shared" si="11"/>
        <v>0</v>
      </c>
      <c r="P30" s="95">
        <f t="shared" si="11"/>
        <v>0</v>
      </c>
      <c r="Q30" s="95">
        <f t="shared" si="11"/>
        <v>0</v>
      </c>
      <c r="R30" s="64"/>
      <c r="S30" s="4">
        <v>23</v>
      </c>
    </row>
    <row r="31" spans="1:19">
      <c r="A31" s="61" t="s">
        <v>59</v>
      </c>
      <c r="B31" s="5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  <c r="S31" s="4">
        <v>24</v>
      </c>
    </row>
    <row r="32" spans="1:19">
      <c r="A32" s="90" t="s">
        <v>50</v>
      </c>
      <c r="B32" s="49">
        <f t="shared" ref="B32:B40" si="12">HLOOKUP($B$7,$F$8:$Q$74,S32,FALSE)</f>
        <v>17268.75</v>
      </c>
      <c r="E32" s="20" t="s">
        <v>28</v>
      </c>
      <c r="F32" s="9">
        <v>3596.95</v>
      </c>
      <c r="G32" s="9">
        <v>15477.439999999999</v>
      </c>
      <c r="H32" s="9">
        <v>8775.2900000000009</v>
      </c>
      <c r="I32" s="9">
        <v>17268.75</v>
      </c>
      <c r="J32" s="9"/>
      <c r="K32" s="9"/>
      <c r="L32" s="9"/>
      <c r="M32" s="9"/>
      <c r="N32" s="9"/>
      <c r="O32" s="9"/>
      <c r="P32" s="9"/>
      <c r="Q32" s="9"/>
      <c r="R32" s="85">
        <f t="shared" ref="R32:R38" si="13">SUM(F32:Q32)</f>
        <v>45118.43</v>
      </c>
      <c r="S32" s="4">
        <v>25</v>
      </c>
    </row>
    <row r="33" spans="1:19">
      <c r="A33" s="90" t="s">
        <v>51</v>
      </c>
      <c r="B33" s="49">
        <f t="shared" si="12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si="13"/>
        <v>0</v>
      </c>
      <c r="S33" s="4">
        <v>26</v>
      </c>
    </row>
    <row r="34" spans="1:19">
      <c r="A34" s="90" t="s">
        <v>52</v>
      </c>
      <c r="B34" s="49">
        <f t="shared" si="12"/>
        <v>5033.7599999999993</v>
      </c>
      <c r="E34" s="20" t="s">
        <v>28</v>
      </c>
      <c r="F34" s="9">
        <v>0</v>
      </c>
      <c r="G34" s="9">
        <v>0</v>
      </c>
      <c r="H34" s="9">
        <v>1834.16</v>
      </c>
      <c r="I34" s="9">
        <v>5033.7599999999993</v>
      </c>
      <c r="J34" s="9"/>
      <c r="K34" s="9"/>
      <c r="L34" s="9"/>
      <c r="M34" s="9"/>
      <c r="N34" s="9"/>
      <c r="O34" s="9"/>
      <c r="P34" s="9"/>
      <c r="Q34" s="9"/>
      <c r="R34" s="85">
        <f t="shared" si="13"/>
        <v>6867.9199999999992</v>
      </c>
      <c r="S34" s="4">
        <v>27</v>
      </c>
    </row>
    <row r="35" spans="1:19">
      <c r="A35" s="90" t="s">
        <v>53</v>
      </c>
      <c r="B35" s="49">
        <f t="shared" si="12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3"/>
        <v>0</v>
      </c>
      <c r="S35" s="4">
        <v>28</v>
      </c>
    </row>
    <row r="36" spans="1:19">
      <c r="A36" s="90" t="s">
        <v>54</v>
      </c>
      <c r="B36" s="49">
        <f t="shared" si="12"/>
        <v>157925</v>
      </c>
      <c r="E36" s="20" t="s">
        <v>28</v>
      </c>
      <c r="F36" s="9">
        <v>0</v>
      </c>
      <c r="G36" s="9">
        <v>16500</v>
      </c>
      <c r="H36" s="9">
        <v>46050</v>
      </c>
      <c r="I36" s="9">
        <v>157925</v>
      </c>
      <c r="J36" s="9"/>
      <c r="K36" s="9"/>
      <c r="L36" s="9"/>
      <c r="M36" s="9"/>
      <c r="N36" s="9"/>
      <c r="O36" s="9"/>
      <c r="P36" s="9"/>
      <c r="Q36" s="9"/>
      <c r="R36" s="85">
        <f t="shared" si="13"/>
        <v>220475</v>
      </c>
      <c r="S36" s="4">
        <v>29</v>
      </c>
    </row>
    <row r="37" spans="1:19">
      <c r="A37" s="90" t="s">
        <v>55</v>
      </c>
      <c r="B37" s="49">
        <f t="shared" si="12"/>
        <v>26922.32</v>
      </c>
      <c r="E37" s="20" t="s">
        <v>28</v>
      </c>
      <c r="F37" s="9">
        <v>0</v>
      </c>
      <c r="G37" s="9">
        <v>1548.23</v>
      </c>
      <c r="H37" s="9">
        <v>3314.71</v>
      </c>
      <c r="I37" s="9">
        <v>26922.32</v>
      </c>
      <c r="J37" s="9"/>
      <c r="K37" s="9"/>
      <c r="L37" s="9"/>
      <c r="M37" s="9"/>
      <c r="N37" s="9"/>
      <c r="O37" s="9"/>
      <c r="P37" s="9"/>
      <c r="Q37" s="9"/>
      <c r="R37" s="85">
        <f t="shared" si="13"/>
        <v>31785.260000000002</v>
      </c>
      <c r="S37" s="4">
        <v>30</v>
      </c>
    </row>
    <row r="38" spans="1:19">
      <c r="A38" s="90" t="s">
        <v>56</v>
      </c>
      <c r="B38" s="49">
        <f t="shared" si="12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 t="shared" si="13"/>
        <v>0</v>
      </c>
      <c r="S38" s="4">
        <v>31</v>
      </c>
    </row>
    <row r="39" spans="1:19">
      <c r="A39" s="90" t="s">
        <v>95</v>
      </c>
      <c r="B39" s="49">
        <f t="shared" si="12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/>
      <c r="S39" s="4">
        <v>32</v>
      </c>
    </row>
    <row r="40" spans="1:19">
      <c r="A40" s="89" t="s">
        <v>60</v>
      </c>
      <c r="B40" s="35">
        <f t="shared" si="12"/>
        <v>207149.83000000002</v>
      </c>
      <c r="C40" s="92"/>
      <c r="D40" s="92"/>
      <c r="E40" s="92"/>
      <c r="F40" s="96">
        <f t="shared" ref="F40:Q40" si="14">SUM(F32:F39)</f>
        <v>3596.95</v>
      </c>
      <c r="G40" s="96">
        <f t="shared" si="14"/>
        <v>33525.67</v>
      </c>
      <c r="H40" s="96">
        <f t="shared" si="14"/>
        <v>59974.159999999996</v>
      </c>
      <c r="I40" s="96">
        <f t="shared" si="14"/>
        <v>207149.83000000002</v>
      </c>
      <c r="J40" s="96">
        <f t="shared" si="14"/>
        <v>0</v>
      </c>
      <c r="K40" s="96">
        <f t="shared" si="14"/>
        <v>0</v>
      </c>
      <c r="L40" s="96">
        <f t="shared" si="14"/>
        <v>0</v>
      </c>
      <c r="M40" s="96">
        <f t="shared" si="14"/>
        <v>0</v>
      </c>
      <c r="N40" s="96">
        <f t="shared" si="14"/>
        <v>0</v>
      </c>
      <c r="O40" s="96">
        <f t="shared" si="14"/>
        <v>0</v>
      </c>
      <c r="P40" s="96">
        <f t="shared" si="14"/>
        <v>0</v>
      </c>
      <c r="Q40" s="96">
        <f t="shared" si="14"/>
        <v>0</v>
      </c>
      <c r="R40" s="66">
        <f>SUM(F40:Q40)</f>
        <v>304246.61</v>
      </c>
      <c r="S40" s="4">
        <v>33</v>
      </c>
    </row>
    <row r="41" spans="1:19">
      <c r="A41" s="61" t="s">
        <v>96</v>
      </c>
      <c r="B41" s="5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5"/>
      <c r="S41" s="4">
        <v>34</v>
      </c>
    </row>
    <row r="42" spans="1:19">
      <c r="A42" s="90" t="s">
        <v>100</v>
      </c>
      <c r="B42" s="98">
        <f t="shared" ref="B42:B49" si="15">HLOOKUP($B$7,$F$8:$Q$74,S42,FALSE)</f>
        <v>1594.3954072506078</v>
      </c>
      <c r="E42" s="20" t="s">
        <v>30</v>
      </c>
      <c r="F42" s="9">
        <v>0</v>
      </c>
      <c r="G42" s="9">
        <v>2373.8064312468778</v>
      </c>
      <c r="H42" s="9">
        <v>4397.9773495016516</v>
      </c>
      <c r="I42" s="9">
        <v>1594.3954072506078</v>
      </c>
      <c r="J42" s="9"/>
      <c r="K42" s="9"/>
      <c r="L42" s="9"/>
      <c r="M42" s="9"/>
      <c r="N42" s="9"/>
      <c r="O42" s="9"/>
      <c r="P42" s="9"/>
      <c r="Q42" s="9"/>
      <c r="R42" s="25"/>
      <c r="S42" s="4">
        <v>35</v>
      </c>
    </row>
    <row r="43" spans="1:19">
      <c r="A43" s="90" t="s">
        <v>101</v>
      </c>
      <c r="B43" s="98">
        <f t="shared" si="15"/>
        <v>36.854306768896734</v>
      </c>
      <c r="E43" s="20" t="s">
        <v>30</v>
      </c>
      <c r="F43" s="9">
        <v>0</v>
      </c>
      <c r="G43" s="9">
        <v>70.071436531240622</v>
      </c>
      <c r="H43" s="9">
        <v>118.48655653235251</v>
      </c>
      <c r="I43" s="9">
        <v>36.854306768896734</v>
      </c>
      <c r="J43" s="9"/>
      <c r="K43" s="9"/>
      <c r="L43" s="9"/>
      <c r="M43" s="9"/>
      <c r="N43" s="9"/>
      <c r="O43" s="9"/>
      <c r="P43" s="9"/>
      <c r="Q43" s="9"/>
      <c r="R43" s="25"/>
      <c r="S43" s="4">
        <v>36</v>
      </c>
    </row>
    <row r="44" spans="1:19">
      <c r="A44" s="90" t="s">
        <v>102</v>
      </c>
      <c r="B44" s="98">
        <f t="shared" si="15"/>
        <v>3843.9546330766693</v>
      </c>
      <c r="E44" s="20" t="s">
        <v>30</v>
      </c>
      <c r="F44" s="9">
        <v>0</v>
      </c>
      <c r="G44" s="9">
        <v>5986.7199796647174</v>
      </c>
      <c r="H44" s="9">
        <v>10906.538559671037</v>
      </c>
      <c r="I44" s="9">
        <v>3843.9546330766693</v>
      </c>
      <c r="J44" s="9"/>
      <c r="K44" s="9"/>
      <c r="L44" s="9"/>
      <c r="M44" s="9"/>
      <c r="N44" s="9"/>
      <c r="O44" s="9"/>
      <c r="P44" s="9"/>
      <c r="Q44" s="9"/>
      <c r="R44" s="25"/>
      <c r="S44" s="4">
        <v>37</v>
      </c>
    </row>
    <row r="45" spans="1:19">
      <c r="A45" s="90" t="s">
        <v>103</v>
      </c>
      <c r="B45" s="98">
        <f t="shared" si="15"/>
        <v>84.412221873482579</v>
      </c>
      <c r="E45" s="20" t="s">
        <v>30</v>
      </c>
      <c r="F45" s="9">
        <v>0</v>
      </c>
      <c r="G45" s="9">
        <v>0</v>
      </c>
      <c r="H45" s="9">
        <v>0</v>
      </c>
      <c r="I45" s="9">
        <v>84.412221873482579</v>
      </c>
      <c r="J45" s="9"/>
      <c r="K45" s="9"/>
      <c r="L45" s="9"/>
      <c r="M45" s="9"/>
      <c r="N45" s="9"/>
      <c r="O45" s="9"/>
      <c r="P45" s="9"/>
      <c r="Q45" s="9"/>
      <c r="R45" s="25"/>
      <c r="S45" s="4">
        <v>38</v>
      </c>
    </row>
    <row r="46" spans="1:19">
      <c r="A46" s="90" t="s">
        <v>104</v>
      </c>
      <c r="B46" s="98">
        <f t="shared" si="15"/>
        <v>9769.5944125087517</v>
      </c>
      <c r="E46" s="20" t="s">
        <v>30</v>
      </c>
      <c r="F46" s="9">
        <v>0</v>
      </c>
      <c r="G46" s="9">
        <v>14305.831210500832</v>
      </c>
      <c r="H46" s="9">
        <v>26238.455769138483</v>
      </c>
      <c r="I46" s="9">
        <v>9769.5944125087517</v>
      </c>
      <c r="J46" s="9"/>
      <c r="K46" s="9"/>
      <c r="L46" s="9"/>
      <c r="M46" s="9"/>
      <c r="N46" s="9"/>
      <c r="O46" s="9"/>
      <c r="P46" s="9"/>
      <c r="Q46" s="9"/>
      <c r="R46" s="25"/>
      <c r="S46" s="4">
        <v>39</v>
      </c>
    </row>
    <row r="47" spans="1:19">
      <c r="A47" s="90" t="s">
        <v>105</v>
      </c>
      <c r="B47" s="98">
        <f t="shared" si="15"/>
        <v>5358.9837582568443</v>
      </c>
      <c r="E47" s="20" t="s">
        <v>30</v>
      </c>
      <c r="F47" s="9">
        <v>0</v>
      </c>
      <c r="G47" s="9">
        <v>8330.427701416007</v>
      </c>
      <c r="H47" s="9">
        <v>15229.318206688591</v>
      </c>
      <c r="I47" s="9">
        <v>5358.9837582568443</v>
      </c>
      <c r="J47" s="9"/>
      <c r="K47" s="9"/>
      <c r="L47" s="9"/>
      <c r="M47" s="9"/>
      <c r="N47" s="9"/>
      <c r="O47" s="9"/>
      <c r="P47" s="9"/>
      <c r="Q47" s="9"/>
      <c r="R47" s="25"/>
      <c r="S47" s="4">
        <v>40</v>
      </c>
    </row>
    <row r="48" spans="1:19">
      <c r="A48" s="90" t="s">
        <v>106</v>
      </c>
      <c r="B48" s="98">
        <f t="shared" si="15"/>
        <v>1153.0584217855337</v>
      </c>
      <c r="E48" s="20" t="s">
        <v>30</v>
      </c>
      <c r="F48" s="9">
        <v>0</v>
      </c>
      <c r="G48" s="9">
        <v>1574.7719482294872</v>
      </c>
      <c r="H48" s="9">
        <v>3303.6800053344618</v>
      </c>
      <c r="I48" s="9">
        <v>1153.0584217855337</v>
      </c>
      <c r="J48" s="9"/>
      <c r="K48" s="9"/>
      <c r="L48" s="9"/>
      <c r="M48" s="9"/>
      <c r="N48" s="9"/>
      <c r="O48" s="9"/>
      <c r="P48" s="9"/>
      <c r="Q48" s="9"/>
      <c r="R48" s="25"/>
      <c r="S48" s="4">
        <v>41</v>
      </c>
    </row>
    <row r="49" spans="1:19">
      <c r="A49" s="90" t="s">
        <v>107</v>
      </c>
      <c r="B49" s="98">
        <f t="shared" si="15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5"/>
      <c r="S49" s="4">
        <v>42</v>
      </c>
    </row>
    <row r="50" spans="1:19">
      <c r="A50" s="61" t="s">
        <v>62</v>
      </c>
      <c r="B50" s="5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4">
        <v>43</v>
      </c>
    </row>
    <row r="51" spans="1:19">
      <c r="A51" s="1" t="s">
        <v>71</v>
      </c>
      <c r="B51" s="31">
        <f t="shared" ref="B51:B58" si="16">HLOOKUP($B$7,$F$8:$Q$74,S51,FALSE)</f>
        <v>4046663</v>
      </c>
      <c r="F51" s="32">
        <f t="shared" ref="F51:Q51" si="17">$F$4+$F$5</f>
        <v>4046663</v>
      </c>
      <c r="G51" s="32">
        <f t="shared" si="17"/>
        <v>4046663</v>
      </c>
      <c r="H51" s="32">
        <f t="shared" si="17"/>
        <v>4046663</v>
      </c>
      <c r="I51" s="32">
        <f t="shared" si="17"/>
        <v>4046663</v>
      </c>
      <c r="J51" s="32">
        <f t="shared" si="17"/>
        <v>4046663</v>
      </c>
      <c r="K51" s="32">
        <f t="shared" si="17"/>
        <v>4046663</v>
      </c>
      <c r="L51" s="32">
        <f t="shared" si="17"/>
        <v>4046663</v>
      </c>
      <c r="M51" s="32">
        <f t="shared" si="17"/>
        <v>4046663</v>
      </c>
      <c r="N51" s="32">
        <f t="shared" si="17"/>
        <v>4046663</v>
      </c>
      <c r="O51" s="32">
        <f t="shared" si="17"/>
        <v>4046663</v>
      </c>
      <c r="P51" s="32">
        <f t="shared" si="17"/>
        <v>4046663</v>
      </c>
      <c r="Q51" s="32">
        <f t="shared" si="17"/>
        <v>4046663</v>
      </c>
      <c r="R51" s="62"/>
      <c r="S51" s="4">
        <v>44</v>
      </c>
    </row>
    <row r="52" spans="1:19">
      <c r="A52" s="1" t="s">
        <v>72</v>
      </c>
      <c r="B52" s="31">
        <f t="shared" si="16"/>
        <v>1348887.6666666665</v>
      </c>
      <c r="F52" s="33">
        <f t="shared" ref="F52:Q52" si="18">F51*(F9/12)</f>
        <v>337221.91666666663</v>
      </c>
      <c r="G52" s="33">
        <f t="shared" si="18"/>
        <v>674443.83333333326</v>
      </c>
      <c r="H52" s="33">
        <f t="shared" si="18"/>
        <v>1011665.75</v>
      </c>
      <c r="I52" s="33">
        <f t="shared" si="18"/>
        <v>1348887.6666666665</v>
      </c>
      <c r="J52" s="33">
        <f t="shared" si="18"/>
        <v>1686109.5833333335</v>
      </c>
      <c r="K52" s="33">
        <f t="shared" si="18"/>
        <v>2023331.5</v>
      </c>
      <c r="L52" s="33">
        <f t="shared" si="18"/>
        <v>2360553.416666667</v>
      </c>
      <c r="M52" s="33">
        <f t="shared" si="18"/>
        <v>2697775.333333333</v>
      </c>
      <c r="N52" s="33">
        <f t="shared" si="18"/>
        <v>3034997.25</v>
      </c>
      <c r="O52" s="33">
        <f t="shared" si="18"/>
        <v>3372219.166666667</v>
      </c>
      <c r="P52" s="33">
        <f t="shared" si="18"/>
        <v>3709441.083333333</v>
      </c>
      <c r="Q52" s="33">
        <f t="shared" si="18"/>
        <v>4046663</v>
      </c>
      <c r="R52" s="64"/>
      <c r="S52" s="4">
        <v>45</v>
      </c>
    </row>
    <row r="53" spans="1:19">
      <c r="A53" s="86" t="s">
        <v>67</v>
      </c>
      <c r="B53" s="98">
        <f t="shared" si="16"/>
        <v>304246.61</v>
      </c>
      <c r="F53" s="37">
        <f>F40</f>
        <v>3596.95</v>
      </c>
      <c r="G53" s="37">
        <f t="shared" ref="G53:Q53" si="19">F53+G40</f>
        <v>37122.619999999995</v>
      </c>
      <c r="H53" s="37">
        <f t="shared" si="19"/>
        <v>97096.78</v>
      </c>
      <c r="I53" s="37">
        <f t="shared" si="19"/>
        <v>304246.61</v>
      </c>
      <c r="J53" s="37">
        <f t="shared" si="19"/>
        <v>304246.61</v>
      </c>
      <c r="K53" s="37">
        <f t="shared" si="19"/>
        <v>304246.61</v>
      </c>
      <c r="L53" s="37">
        <f t="shared" si="19"/>
        <v>304246.61</v>
      </c>
      <c r="M53" s="37">
        <f t="shared" si="19"/>
        <v>304246.61</v>
      </c>
      <c r="N53" s="37">
        <f t="shared" si="19"/>
        <v>304246.61</v>
      </c>
      <c r="O53" s="37">
        <f t="shared" si="19"/>
        <v>304246.61</v>
      </c>
      <c r="P53" s="37">
        <f t="shared" si="19"/>
        <v>304246.61</v>
      </c>
      <c r="Q53" s="37">
        <f t="shared" si="19"/>
        <v>304246.61</v>
      </c>
      <c r="R53" s="67"/>
      <c r="S53" s="4">
        <v>46</v>
      </c>
    </row>
    <row r="54" spans="1:19">
      <c r="A54" s="86" t="s">
        <v>16</v>
      </c>
      <c r="B54" s="98">
        <f t="shared" si="16"/>
        <v>21841.253161520784</v>
      </c>
      <c r="E54" s="3"/>
      <c r="F54" s="37">
        <f t="shared" ref="F54:Q54" si="20">SUM(F42:F49)</f>
        <v>0</v>
      </c>
      <c r="G54" s="37">
        <f t="shared" si="20"/>
        <v>32641.628707589163</v>
      </c>
      <c r="H54" s="37">
        <f t="shared" si="20"/>
        <v>60194.456446866578</v>
      </c>
      <c r="I54" s="37">
        <f t="shared" si="20"/>
        <v>21841.253161520784</v>
      </c>
      <c r="J54" s="37">
        <f t="shared" si="20"/>
        <v>0</v>
      </c>
      <c r="K54" s="37">
        <f t="shared" si="20"/>
        <v>0</v>
      </c>
      <c r="L54" s="37">
        <f t="shared" si="20"/>
        <v>0</v>
      </c>
      <c r="M54" s="37">
        <f t="shared" si="20"/>
        <v>0</v>
      </c>
      <c r="N54" s="37">
        <f t="shared" si="20"/>
        <v>0</v>
      </c>
      <c r="O54" s="37">
        <f t="shared" si="20"/>
        <v>0</v>
      </c>
      <c r="P54" s="37">
        <f t="shared" si="20"/>
        <v>0</v>
      </c>
      <c r="Q54" s="37">
        <f t="shared" si="20"/>
        <v>0</v>
      </c>
      <c r="R54" s="67"/>
      <c r="S54" s="4">
        <v>47</v>
      </c>
    </row>
    <row r="55" spans="1:19">
      <c r="A55" s="91" t="s">
        <v>68</v>
      </c>
      <c r="B55" s="35">
        <f t="shared" si="16"/>
        <v>326087.8631615208</v>
      </c>
      <c r="C55" s="92"/>
      <c r="D55" s="92"/>
      <c r="E55" s="93"/>
      <c r="F55" s="36">
        <f t="shared" ref="F55:Q55" si="21">F53+F54</f>
        <v>3596.95</v>
      </c>
      <c r="G55" s="36">
        <f t="shared" si="21"/>
        <v>69764.248707589155</v>
      </c>
      <c r="H55" s="36">
        <f t="shared" si="21"/>
        <v>157291.23644686659</v>
      </c>
      <c r="I55" s="36">
        <f t="shared" si="21"/>
        <v>326087.8631615208</v>
      </c>
      <c r="J55" s="36">
        <f t="shared" si="21"/>
        <v>304246.61</v>
      </c>
      <c r="K55" s="36">
        <f t="shared" si="21"/>
        <v>304246.61</v>
      </c>
      <c r="L55" s="36">
        <f t="shared" si="21"/>
        <v>304246.61</v>
      </c>
      <c r="M55" s="36">
        <f t="shared" si="21"/>
        <v>304246.61</v>
      </c>
      <c r="N55" s="36">
        <f t="shared" si="21"/>
        <v>304246.61</v>
      </c>
      <c r="O55" s="36">
        <f t="shared" si="21"/>
        <v>304246.61</v>
      </c>
      <c r="P55" s="36">
        <f t="shared" si="21"/>
        <v>304246.61</v>
      </c>
      <c r="Q55" s="36">
        <f t="shared" si="21"/>
        <v>304246.61</v>
      </c>
      <c r="R55" s="67"/>
      <c r="S55" s="4">
        <v>48</v>
      </c>
    </row>
    <row r="56" spans="1:19">
      <c r="A56" s="86" t="s">
        <v>84</v>
      </c>
      <c r="B56" s="88">
        <f t="shared" si="16"/>
        <v>7.5184568124402745E-2</v>
      </c>
      <c r="F56" s="88">
        <f t="shared" ref="F56:Q56" si="22">F53/F51</f>
        <v>8.8886818595964126E-4</v>
      </c>
      <c r="G56" s="88">
        <f t="shared" si="22"/>
        <v>9.1736376367392083E-3</v>
      </c>
      <c r="H56" s="88">
        <f t="shared" si="22"/>
        <v>2.3994283685100537E-2</v>
      </c>
      <c r="I56" s="88">
        <f t="shared" si="22"/>
        <v>7.5184568124402745E-2</v>
      </c>
      <c r="J56" s="88">
        <f t="shared" si="22"/>
        <v>7.5184568124402745E-2</v>
      </c>
      <c r="K56" s="88">
        <f t="shared" si="22"/>
        <v>7.5184568124402745E-2</v>
      </c>
      <c r="L56" s="88">
        <f t="shared" si="22"/>
        <v>7.5184568124402745E-2</v>
      </c>
      <c r="M56" s="88">
        <f t="shared" si="22"/>
        <v>7.5184568124402745E-2</v>
      </c>
      <c r="N56" s="88">
        <f t="shared" si="22"/>
        <v>7.5184568124402745E-2</v>
      </c>
      <c r="O56" s="88">
        <f t="shared" si="22"/>
        <v>7.5184568124402745E-2</v>
      </c>
      <c r="P56" s="88">
        <f t="shared" si="22"/>
        <v>7.5184568124402745E-2</v>
      </c>
      <c r="Q56" s="88">
        <f t="shared" si="22"/>
        <v>7.5184568124402745E-2</v>
      </c>
      <c r="R56" s="97"/>
      <c r="S56" s="4">
        <v>49</v>
      </c>
    </row>
    <row r="57" spans="1:19">
      <c r="A57" s="86" t="s">
        <v>85</v>
      </c>
      <c r="B57" s="88">
        <f t="shared" si="16"/>
        <v>8.0581917288768748E-2</v>
      </c>
      <c r="F57" s="88">
        <f t="shared" ref="F57:Q57" si="23">F55/F51</f>
        <v>8.8886818595964126E-4</v>
      </c>
      <c r="G57" s="88">
        <f t="shared" si="23"/>
        <v>1.7239945285186624E-2</v>
      </c>
      <c r="H57" s="88">
        <f t="shared" si="23"/>
        <v>3.8869368772953564E-2</v>
      </c>
      <c r="I57" s="88">
        <f t="shared" si="23"/>
        <v>8.0581917288768748E-2</v>
      </c>
      <c r="J57" s="88">
        <f t="shared" si="23"/>
        <v>7.5184568124402745E-2</v>
      </c>
      <c r="K57" s="88">
        <f t="shared" si="23"/>
        <v>7.5184568124402745E-2</v>
      </c>
      <c r="L57" s="88">
        <f t="shared" si="23"/>
        <v>7.5184568124402745E-2</v>
      </c>
      <c r="M57" s="88">
        <f t="shared" si="23"/>
        <v>7.5184568124402745E-2</v>
      </c>
      <c r="N57" s="88">
        <f t="shared" si="23"/>
        <v>7.5184568124402745E-2</v>
      </c>
      <c r="O57" s="88">
        <f t="shared" si="23"/>
        <v>7.5184568124402745E-2</v>
      </c>
      <c r="P57" s="88">
        <f t="shared" si="23"/>
        <v>7.5184568124402745E-2</v>
      </c>
      <c r="Q57" s="88">
        <f t="shared" si="23"/>
        <v>7.5184568124402745E-2</v>
      </c>
      <c r="R57" s="97"/>
      <c r="S57" s="4">
        <v>50</v>
      </c>
    </row>
    <row r="58" spans="1:19">
      <c r="A58" s="86" t="s">
        <v>86</v>
      </c>
      <c r="B58" s="88">
        <f t="shared" si="16"/>
        <v>0.22555370437320826</v>
      </c>
      <c r="F58" s="88">
        <f t="shared" ref="F58:Q58" si="24">F53/F52</f>
        <v>1.0666418231515696E-2</v>
      </c>
      <c r="G58" s="88">
        <f t="shared" si="24"/>
        <v>5.5041825820435257E-2</v>
      </c>
      <c r="H58" s="88">
        <f t="shared" si="24"/>
        <v>9.5977134740402148E-2</v>
      </c>
      <c r="I58" s="88">
        <f t="shared" si="24"/>
        <v>0.22555370437320826</v>
      </c>
      <c r="J58" s="88">
        <f t="shared" si="24"/>
        <v>0.18044296349856656</v>
      </c>
      <c r="K58" s="88">
        <f t="shared" si="24"/>
        <v>0.15036913624880549</v>
      </c>
      <c r="L58" s="88">
        <f t="shared" si="24"/>
        <v>0.12888783107040469</v>
      </c>
      <c r="M58" s="88">
        <f t="shared" si="24"/>
        <v>0.11277685218660413</v>
      </c>
      <c r="N58" s="88">
        <f t="shared" si="24"/>
        <v>0.10024609083253699</v>
      </c>
      <c r="O58" s="88">
        <f t="shared" si="24"/>
        <v>9.022148174928328E-2</v>
      </c>
      <c r="P58" s="88">
        <f t="shared" si="24"/>
        <v>8.2019528862984817E-2</v>
      </c>
      <c r="Q58" s="88">
        <f t="shared" si="24"/>
        <v>7.5184568124402745E-2</v>
      </c>
      <c r="R58" s="97"/>
      <c r="S58" s="4">
        <v>51</v>
      </c>
    </row>
    <row r="59" spans="1:19">
      <c r="A59" s="61" t="s">
        <v>58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7"/>
      <c r="S59" s="4">
        <v>52</v>
      </c>
    </row>
    <row r="60" spans="1:19">
      <c r="A60" s="1" t="s">
        <v>64</v>
      </c>
      <c r="B60" s="31">
        <f>HLOOKUP($B$7,$F$8:$Q$74,S60,FALSE)</f>
        <v>16186652</v>
      </c>
      <c r="F60" s="102">
        <f t="shared" ref="F60:Q60" si="25">SUM($F$4:$I$4)+$F$5</f>
        <v>16186652</v>
      </c>
      <c r="G60" s="102">
        <f t="shared" si="25"/>
        <v>16186652</v>
      </c>
      <c r="H60" s="102">
        <f t="shared" si="25"/>
        <v>16186652</v>
      </c>
      <c r="I60" s="102">
        <f t="shared" si="25"/>
        <v>16186652</v>
      </c>
      <c r="J60" s="102">
        <f t="shared" si="25"/>
        <v>16186652</v>
      </c>
      <c r="K60" s="102">
        <f t="shared" si="25"/>
        <v>16186652</v>
      </c>
      <c r="L60" s="102">
        <f t="shared" si="25"/>
        <v>16186652</v>
      </c>
      <c r="M60" s="102">
        <f t="shared" si="25"/>
        <v>16186652</v>
      </c>
      <c r="N60" s="102">
        <f t="shared" si="25"/>
        <v>16186652</v>
      </c>
      <c r="O60" s="102">
        <f t="shared" si="25"/>
        <v>16186652</v>
      </c>
      <c r="P60" s="102">
        <f t="shared" si="25"/>
        <v>16186652</v>
      </c>
      <c r="Q60" s="102">
        <f t="shared" si="25"/>
        <v>16186652</v>
      </c>
      <c r="R60" s="97"/>
      <c r="S60" s="4">
        <v>53</v>
      </c>
    </row>
    <row r="61" spans="1:19">
      <c r="A61" s="86" t="s">
        <v>70</v>
      </c>
      <c r="B61" s="98">
        <f>HLOOKUP($B$7,$F$8:$Q$74,S61,FALSE)</f>
        <v>304246.61</v>
      </c>
      <c r="F61" s="101">
        <f t="shared" ref="F61:Q61" si="26">F53</f>
        <v>3596.95</v>
      </c>
      <c r="G61" s="101">
        <f t="shared" si="26"/>
        <v>37122.619999999995</v>
      </c>
      <c r="H61" s="101">
        <f t="shared" si="26"/>
        <v>97096.78</v>
      </c>
      <c r="I61" s="101">
        <f t="shared" si="26"/>
        <v>304246.61</v>
      </c>
      <c r="J61" s="101">
        <f t="shared" si="26"/>
        <v>304246.61</v>
      </c>
      <c r="K61" s="101">
        <f t="shared" si="26"/>
        <v>304246.61</v>
      </c>
      <c r="L61" s="101">
        <f t="shared" si="26"/>
        <v>304246.61</v>
      </c>
      <c r="M61" s="101">
        <f t="shared" si="26"/>
        <v>304246.61</v>
      </c>
      <c r="N61" s="101">
        <f t="shared" si="26"/>
        <v>304246.61</v>
      </c>
      <c r="O61" s="101">
        <f t="shared" si="26"/>
        <v>304246.61</v>
      </c>
      <c r="P61" s="101">
        <f t="shared" si="26"/>
        <v>304246.61</v>
      </c>
      <c r="Q61" s="101">
        <f t="shared" si="26"/>
        <v>304246.61</v>
      </c>
      <c r="R61" s="97"/>
      <c r="S61" s="4">
        <v>54</v>
      </c>
    </row>
    <row r="62" spans="1:19">
      <c r="A62" s="91" t="s">
        <v>69</v>
      </c>
      <c r="B62" s="106">
        <f>HLOOKUP($B$7,$F$8:$Q$74,S62,FALSE)</f>
        <v>326087.8631615208</v>
      </c>
      <c r="F62" s="35">
        <f t="shared" ref="F62:Q62" si="27">F61+F54</f>
        <v>3596.95</v>
      </c>
      <c r="G62" s="35">
        <f t="shared" si="27"/>
        <v>69764.248707589155</v>
      </c>
      <c r="H62" s="35">
        <f t="shared" si="27"/>
        <v>157291.23644686659</v>
      </c>
      <c r="I62" s="35">
        <f t="shared" si="27"/>
        <v>326087.8631615208</v>
      </c>
      <c r="J62" s="35">
        <f t="shared" si="27"/>
        <v>304246.61</v>
      </c>
      <c r="K62" s="35">
        <f t="shared" si="27"/>
        <v>304246.61</v>
      </c>
      <c r="L62" s="35">
        <f t="shared" si="27"/>
        <v>304246.61</v>
      </c>
      <c r="M62" s="35">
        <f t="shared" si="27"/>
        <v>304246.61</v>
      </c>
      <c r="N62" s="35">
        <f t="shared" si="27"/>
        <v>304246.61</v>
      </c>
      <c r="O62" s="35">
        <f t="shared" si="27"/>
        <v>304246.61</v>
      </c>
      <c r="P62" s="35">
        <f t="shared" si="27"/>
        <v>304246.61</v>
      </c>
      <c r="Q62" s="35">
        <f t="shared" si="27"/>
        <v>304246.61</v>
      </c>
      <c r="R62" s="97"/>
      <c r="S62" s="4">
        <v>55</v>
      </c>
    </row>
    <row r="63" spans="1:19">
      <c r="A63" s="86" t="s">
        <v>65</v>
      </c>
      <c r="B63" s="88">
        <f>HLOOKUP($B$7,$F$8:$Q$74,S63,FALSE)</f>
        <v>1.8796142031100686E-2</v>
      </c>
      <c r="F63" s="88">
        <f t="shared" ref="F63:Q63" si="28">F61/F60</f>
        <v>2.2221704648991031E-4</v>
      </c>
      <c r="G63" s="88">
        <f t="shared" si="28"/>
        <v>2.2934094091848021E-3</v>
      </c>
      <c r="H63" s="88">
        <f t="shared" si="28"/>
        <v>5.9985709212751342E-3</v>
      </c>
      <c r="I63" s="88">
        <f t="shared" si="28"/>
        <v>1.8796142031100686E-2</v>
      </c>
      <c r="J63" s="88">
        <f t="shared" si="28"/>
        <v>1.8796142031100686E-2</v>
      </c>
      <c r="K63" s="88">
        <f t="shared" si="28"/>
        <v>1.8796142031100686E-2</v>
      </c>
      <c r="L63" s="88">
        <f t="shared" si="28"/>
        <v>1.8796142031100686E-2</v>
      </c>
      <c r="M63" s="88">
        <f t="shared" si="28"/>
        <v>1.8796142031100686E-2</v>
      </c>
      <c r="N63" s="88">
        <f t="shared" si="28"/>
        <v>1.8796142031100686E-2</v>
      </c>
      <c r="O63" s="88">
        <f t="shared" si="28"/>
        <v>1.8796142031100686E-2</v>
      </c>
      <c r="P63" s="88">
        <f t="shared" si="28"/>
        <v>1.8796142031100686E-2</v>
      </c>
      <c r="Q63" s="88">
        <f t="shared" si="28"/>
        <v>1.8796142031100686E-2</v>
      </c>
      <c r="R63" s="97"/>
      <c r="S63" s="4">
        <v>56</v>
      </c>
    </row>
    <row r="64" spans="1:19">
      <c r="A64" s="86" t="s">
        <v>66</v>
      </c>
      <c r="B64" s="88">
        <f>HLOOKUP($B$7,$F$8:$Q$74,S64,FALSE)</f>
        <v>2.0145479322192187E-2</v>
      </c>
      <c r="F64" s="88">
        <f t="shared" ref="F64:Q64" si="29">F62/F60</f>
        <v>2.2221704648991031E-4</v>
      </c>
      <c r="G64" s="88">
        <f t="shared" si="29"/>
        <v>4.309986321296656E-3</v>
      </c>
      <c r="H64" s="88">
        <f t="shared" si="29"/>
        <v>9.7173421932383909E-3</v>
      </c>
      <c r="I64" s="88">
        <f t="shared" si="29"/>
        <v>2.0145479322192187E-2</v>
      </c>
      <c r="J64" s="88">
        <f t="shared" si="29"/>
        <v>1.8796142031100686E-2</v>
      </c>
      <c r="K64" s="88">
        <f t="shared" si="29"/>
        <v>1.8796142031100686E-2</v>
      </c>
      <c r="L64" s="88">
        <f t="shared" si="29"/>
        <v>1.8796142031100686E-2</v>
      </c>
      <c r="M64" s="88">
        <f t="shared" si="29"/>
        <v>1.8796142031100686E-2</v>
      </c>
      <c r="N64" s="88">
        <f t="shared" si="29"/>
        <v>1.8796142031100686E-2</v>
      </c>
      <c r="O64" s="88">
        <f t="shared" si="29"/>
        <v>1.8796142031100686E-2</v>
      </c>
      <c r="P64" s="88">
        <f t="shared" si="29"/>
        <v>1.8796142031100686E-2</v>
      </c>
      <c r="Q64" s="88">
        <f t="shared" si="29"/>
        <v>1.8796142031100686E-2</v>
      </c>
      <c r="R64" s="97"/>
      <c r="S64" s="4">
        <v>57</v>
      </c>
    </row>
    <row r="65" spans="1:20">
      <c r="A65" s="61" t="s">
        <v>17</v>
      </c>
      <c r="B65" s="5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5"/>
      <c r="S65" s="4">
        <v>58</v>
      </c>
    </row>
    <row r="66" spans="1:20">
      <c r="A66" s="18" t="s">
        <v>18</v>
      </c>
      <c r="B66" s="40">
        <f>HLOOKUP($B$7,$F$8:$Q$74,S66,FALSE)</f>
        <v>0</v>
      </c>
      <c r="E66" s="20" t="s">
        <v>36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20">
      <c r="A67" s="18" t="s">
        <v>19</v>
      </c>
      <c r="B67" s="40">
        <f>HLOOKUP($B$7,$F$8:$Q$74,S67,FALSE)</f>
        <v>0</v>
      </c>
      <c r="E67" s="20" t="s">
        <v>36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20">
      <c r="A68" s="18" t="s">
        <v>20</v>
      </c>
      <c r="B68" s="40">
        <f>HLOOKUP($B$7,$F$8:$Q$74,S68,FALSE)</f>
        <v>0</v>
      </c>
      <c r="E68" s="20" t="s">
        <v>36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20">
      <c r="A69" s="18" t="s">
        <v>21</v>
      </c>
      <c r="B69" s="40">
        <f>HLOOKUP($B$7,$F$8:$Q$74,S69,FALSE)</f>
        <v>0</v>
      </c>
      <c r="E69" s="20" t="s">
        <v>37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20">
      <c r="A70" s="61" t="s">
        <v>8</v>
      </c>
      <c r="B70" s="5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5"/>
      <c r="S70" s="4">
        <v>63</v>
      </c>
    </row>
    <row r="71" spans="1:20">
      <c r="A71" s="18" t="s">
        <v>1</v>
      </c>
      <c r="B71" s="19">
        <f>HLOOKUP($B$7,$F$8:$Q$74,S71,FALSE)</f>
        <v>397</v>
      </c>
      <c r="E71" s="20" t="s">
        <v>30</v>
      </c>
      <c r="F71" s="7">
        <v>20</v>
      </c>
      <c r="G71" s="122">
        <v>68</v>
      </c>
      <c r="H71" s="7">
        <v>179</v>
      </c>
      <c r="I71" s="7">
        <v>397</v>
      </c>
      <c r="J71" s="7"/>
      <c r="K71" s="7"/>
      <c r="L71" s="7"/>
      <c r="M71" s="7"/>
      <c r="N71" s="7"/>
      <c r="O71" s="7"/>
      <c r="P71" s="7"/>
      <c r="Q71" s="7"/>
      <c r="R71" s="25"/>
      <c r="S71" s="4">
        <v>64</v>
      </c>
    </row>
    <row r="72" spans="1:20">
      <c r="A72" s="18" t="s">
        <v>38</v>
      </c>
      <c r="B72" s="19">
        <f>HLOOKUP($B$7,$F$8:$Q$74,S72,FALSE)</f>
        <v>229</v>
      </c>
      <c r="E72" s="20" t="s">
        <v>30</v>
      </c>
      <c r="F72" s="7">
        <v>0</v>
      </c>
      <c r="G72" s="122">
        <v>55</v>
      </c>
      <c r="H72" s="7">
        <v>93</v>
      </c>
      <c r="I72" s="7">
        <v>229</v>
      </c>
      <c r="J72" s="7"/>
      <c r="K72" s="7"/>
      <c r="L72" s="7"/>
      <c r="M72" s="7"/>
      <c r="N72" s="7"/>
      <c r="O72" s="7"/>
      <c r="P72" s="7"/>
      <c r="Q72" s="7"/>
      <c r="R72" s="25"/>
      <c r="S72" s="4">
        <v>65</v>
      </c>
    </row>
    <row r="73" spans="1:20" s="4" customFormat="1">
      <c r="A73" s="61" t="s">
        <v>32</v>
      </c>
      <c r="B73" s="59"/>
      <c r="C73" s="41"/>
      <c r="E73" s="4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5"/>
      <c r="S73" s="4">
        <v>66</v>
      </c>
    </row>
    <row r="74" spans="1:20" s="4" customFormat="1">
      <c r="A74" s="18" t="s">
        <v>33</v>
      </c>
      <c r="B74" s="19">
        <f>HLOOKUP($B$7,$F$8:$Q$74,S74,FALSE)</f>
        <v>1873</v>
      </c>
      <c r="C74" s="41"/>
      <c r="E74" s="20" t="s">
        <v>34</v>
      </c>
      <c r="F74" s="42">
        <f>F3</f>
        <v>1873</v>
      </c>
      <c r="G74" s="42">
        <f>F74</f>
        <v>1873</v>
      </c>
      <c r="H74" s="43">
        <f>G74</f>
        <v>1873</v>
      </c>
      <c r="I74" s="42">
        <f>H74</f>
        <v>1873</v>
      </c>
      <c r="J74" s="42"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5"/>
      <c r="S74" s="4">
        <v>67</v>
      </c>
    </row>
    <row r="75" spans="1:20" s="164" customFormat="1">
      <c r="A75" s="18" t="s">
        <v>146</v>
      </c>
      <c r="B75" s="19">
        <f>HLOOKUP($B$7,$F$8:$Q$75,S75,FALSE)</f>
        <v>0</v>
      </c>
      <c r="C75" s="41"/>
      <c r="D75" s="4"/>
      <c r="E75" s="20" t="s">
        <v>34</v>
      </c>
      <c r="F75" s="42">
        <v>0</v>
      </c>
      <c r="G75" s="42">
        <v>0</v>
      </c>
      <c r="H75" s="43">
        <f t="shared" ref="H75:J75" si="30">G75</f>
        <v>0</v>
      </c>
      <c r="I75" s="42">
        <f t="shared" si="30"/>
        <v>0</v>
      </c>
      <c r="J75" s="42">
        <f t="shared" si="30"/>
        <v>0</v>
      </c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5"/>
      <c r="S75" s="4">
        <v>68</v>
      </c>
      <c r="T75" s="4"/>
    </row>
    <row r="76" spans="1:20" s="4" customFormat="1" ht="9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20" s="4" customFormat="1">
      <c r="A77" s="72" t="s">
        <v>43</v>
      </c>
      <c r="B77" s="69"/>
      <c r="C77" s="41"/>
      <c r="R77" s="68"/>
    </row>
    <row r="78" spans="1:20" s="4" customFormat="1">
      <c r="A78" s="61" t="s">
        <v>31</v>
      </c>
      <c r="B78" s="12"/>
      <c r="C78" s="41"/>
      <c r="R78" s="68"/>
    </row>
    <row r="79" spans="1:20" s="4" customFormat="1" ht="26.25">
      <c r="A79" s="84" t="str">
        <f>VLOOKUP(B7,E88:T99,2,FALSE)</f>
        <v>Ancillary gas program savings (of mWhs) is now tracked separately on the gas scorecard</v>
      </c>
      <c r="B79" s="70"/>
      <c r="C79" s="41"/>
      <c r="R79" s="68"/>
    </row>
    <row r="80" spans="1:20" s="4" customFormat="1">
      <c r="A80" s="61" t="s">
        <v>40</v>
      </c>
      <c r="B80" s="12"/>
      <c r="C80" s="41"/>
      <c r="R80" s="68"/>
    </row>
    <row r="81" spans="1:20" s="4" customFormat="1">
      <c r="A81" s="84">
        <f>VLOOKUP(B7,E88:T99,6,FALSE)</f>
        <v>0</v>
      </c>
      <c r="B81" s="71"/>
      <c r="C81" s="41"/>
      <c r="R81" s="68"/>
    </row>
    <row r="82" spans="1:20" s="4" customFormat="1">
      <c r="A82" s="61" t="s">
        <v>44</v>
      </c>
      <c r="B82" s="12"/>
      <c r="C82" s="41"/>
      <c r="R82" s="68"/>
    </row>
    <row r="83" spans="1:20" s="4" customFormat="1" ht="15" customHeight="1">
      <c r="A83" s="84">
        <f>VLOOKUP(B7,E88:T99,10,FALSE)</f>
        <v>0</v>
      </c>
      <c r="B83" s="73"/>
      <c r="C83" s="41"/>
      <c r="R83" s="68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20">
      <c r="A86" s="7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0"/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 t="s">
        <v>132</v>
      </c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1"/>
      <c r="S88" s="171"/>
      <c r="T88" s="171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1"/>
      <c r="S89" s="171"/>
      <c r="T89" s="171"/>
    </row>
    <row r="90" spans="1:20" ht="28.5" customHeight="1">
      <c r="D90" s="41"/>
      <c r="E90" s="14">
        <v>40969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 t="s">
        <v>142</v>
      </c>
      <c r="S90" s="171"/>
      <c r="T90" s="171"/>
    </row>
    <row r="91" spans="1:20" ht="27" customHeight="1">
      <c r="D91" s="41"/>
      <c r="E91" s="14">
        <v>41000</v>
      </c>
      <c r="F91" s="176" t="s">
        <v>141</v>
      </c>
      <c r="G91" s="177"/>
      <c r="H91" s="177"/>
      <c r="I91" s="178"/>
      <c r="J91" s="174"/>
      <c r="K91" s="174"/>
      <c r="L91" s="174"/>
      <c r="M91" s="174"/>
      <c r="N91" s="174"/>
      <c r="O91" s="174"/>
      <c r="P91" s="174"/>
      <c r="Q91" s="174"/>
      <c r="R91" s="171"/>
      <c r="S91" s="171"/>
      <c r="T91" s="171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 s="3" customFormat="1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 s="3" customFormat="1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 s="3" customFormat="1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</sheetData>
  <mergeCells count="54">
    <mergeCell ref="D1:F1"/>
    <mergeCell ref="D85:G85"/>
    <mergeCell ref="F87:I87"/>
    <mergeCell ref="J87:M87"/>
    <mergeCell ref="N87:Q87"/>
    <mergeCell ref="R87:T87"/>
    <mergeCell ref="F88:I88"/>
    <mergeCell ref="J88:M88"/>
    <mergeCell ref="N88:Q88"/>
    <mergeCell ref="R88:T88"/>
    <mergeCell ref="F89:I89"/>
    <mergeCell ref="J89:M89"/>
    <mergeCell ref="N89:Q89"/>
    <mergeCell ref="R89:T89"/>
    <mergeCell ref="F90:I90"/>
    <mergeCell ref="J90:M90"/>
    <mergeCell ref="N90:Q90"/>
    <mergeCell ref="R90:T90"/>
    <mergeCell ref="F91:I91"/>
    <mergeCell ref="J91:M91"/>
    <mergeCell ref="N91:Q91"/>
    <mergeCell ref="R91:T91"/>
    <mergeCell ref="F92:I92"/>
    <mergeCell ref="J92:M92"/>
    <mergeCell ref="N92:Q92"/>
    <mergeCell ref="R92:T92"/>
    <mergeCell ref="F93:I93"/>
    <mergeCell ref="J93:M93"/>
    <mergeCell ref="N93:Q93"/>
    <mergeCell ref="R93:T93"/>
    <mergeCell ref="F94:I94"/>
    <mergeCell ref="J94:M94"/>
    <mergeCell ref="N94:Q94"/>
    <mergeCell ref="R94:T94"/>
    <mergeCell ref="F95:I95"/>
    <mergeCell ref="J95:M95"/>
    <mergeCell ref="N95:Q95"/>
    <mergeCell ref="R95:T95"/>
    <mergeCell ref="F96:I96"/>
    <mergeCell ref="J96:M96"/>
    <mergeCell ref="N96:Q96"/>
    <mergeCell ref="R96:T96"/>
    <mergeCell ref="F99:I99"/>
    <mergeCell ref="J99:M99"/>
    <mergeCell ref="N99:Q99"/>
    <mergeCell ref="R99:T99"/>
    <mergeCell ref="F97:I97"/>
    <mergeCell ref="J97:M97"/>
    <mergeCell ref="N97:Q97"/>
    <mergeCell ref="R97:T97"/>
    <mergeCell ref="F98:I98"/>
    <mergeCell ref="J98:M98"/>
    <mergeCell ref="N98:Q98"/>
    <mergeCell ref="R98:T98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00"/>
  <sheetViews>
    <sheetView topLeftCell="A41" zoomScaleNormal="100" workbookViewId="0">
      <pane xSplit="1" topLeftCell="B1" activePane="topRight" state="frozen"/>
      <selection activeCell="A89" sqref="A89"/>
      <selection pane="topRight" activeCell="I72" sqref="I72"/>
    </sheetView>
  </sheetViews>
  <sheetFormatPr defaultRowHeight="15"/>
  <cols>
    <col min="1" max="1" width="62.710937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6" width="15.7109375" style="4" customWidth="1"/>
    <col min="7" max="18" width="15.7109375" style="3" customWidth="1"/>
    <col min="19" max="19" width="6.42578125" style="3" customWidth="1"/>
    <col min="20" max="20" width="28.5703125" style="3" customWidth="1"/>
    <col min="21" max="21" width="15.7109375" style="3" customWidth="1"/>
    <col min="22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  <c r="G1" s="172"/>
    </row>
    <row r="2" spans="1:19">
      <c r="A2" s="1" t="s">
        <v>4</v>
      </c>
      <c r="B2" s="108" t="s">
        <v>128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111</v>
      </c>
      <c r="C3" s="6"/>
      <c r="E3" s="111" t="s">
        <v>73</v>
      </c>
      <c r="F3" s="109">
        <v>34158</v>
      </c>
      <c r="G3" s="109">
        <v>34158</v>
      </c>
      <c r="H3" s="109">
        <v>34158</v>
      </c>
      <c r="I3" s="109">
        <v>34158</v>
      </c>
    </row>
    <row r="4" spans="1:19">
      <c r="A4" s="1" t="s">
        <v>9</v>
      </c>
      <c r="B4" s="113">
        <v>40957</v>
      </c>
      <c r="C4" s="8"/>
      <c r="E4" s="111" t="s">
        <v>74</v>
      </c>
      <c r="F4" s="110">
        <v>2802406</v>
      </c>
      <c r="G4" s="110">
        <v>2802406</v>
      </c>
      <c r="H4" s="110">
        <v>2802406</v>
      </c>
      <c r="I4" s="110">
        <v>2802406</v>
      </c>
      <c r="K4" s="10"/>
      <c r="L4" s="10"/>
      <c r="M4" s="10"/>
      <c r="N4" s="10"/>
      <c r="O4" s="10"/>
      <c r="P4" s="10"/>
      <c r="Q4" s="10"/>
      <c r="R4" s="10"/>
      <c r="S4" s="11"/>
    </row>
    <row r="5" spans="1:19">
      <c r="A5" s="1" t="s">
        <v>10</v>
      </c>
      <c r="B5" s="113">
        <v>39948</v>
      </c>
      <c r="C5" s="8"/>
      <c r="E5" s="111" t="s">
        <v>93</v>
      </c>
      <c r="F5" s="1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</row>
    <row r="6" spans="1:19">
      <c r="A6" s="1" t="s">
        <v>99</v>
      </c>
      <c r="B6" s="113">
        <v>40909</v>
      </c>
      <c r="C6" s="8"/>
      <c r="E6" s="103"/>
      <c r="F6" s="103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19">
      <c r="A7" s="1" t="s">
        <v>2</v>
      </c>
      <c r="B7" s="60">
        <v>41000</v>
      </c>
      <c r="C7" s="12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5" t="s">
        <v>39</v>
      </c>
    </row>
    <row r="8" spans="1:19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34"/>
      <c r="S9" s="4">
        <v>2</v>
      </c>
    </row>
    <row r="10" spans="1:19">
      <c r="A10" s="61" t="s">
        <v>92</v>
      </c>
      <c r="B10" s="59"/>
      <c r="E10" s="13" t="s">
        <v>29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">
        <v>3</v>
      </c>
    </row>
    <row r="11" spans="1:19">
      <c r="A11" s="18" t="s">
        <v>12</v>
      </c>
      <c r="B11" s="19">
        <f>HLOOKUP($B$7,$F$8:$Q$74,S11,FALSE)</f>
        <v>3015.1340999999993</v>
      </c>
      <c r="E11" s="20" t="s">
        <v>28</v>
      </c>
      <c r="F11" s="7">
        <v>0</v>
      </c>
      <c r="G11" s="122">
        <v>286.56540000000001</v>
      </c>
      <c r="H11" s="7">
        <v>933.58799999999997</v>
      </c>
      <c r="I11" s="7">
        <v>3015.1340999999993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4235.2874999999995</v>
      </c>
      <c r="S11" s="4">
        <v>4</v>
      </c>
    </row>
    <row r="12" spans="1:19">
      <c r="A12" s="18" t="s">
        <v>13</v>
      </c>
      <c r="B12" s="19">
        <f>HLOOKUP($B$7,$F$8:$Q$74,S12,FALSE)</f>
        <v>12.534299999999998</v>
      </c>
      <c r="E12" s="20" t="s">
        <v>28</v>
      </c>
      <c r="F12" s="7">
        <v>0</v>
      </c>
      <c r="G12" s="163">
        <v>1.3194000000000001</v>
      </c>
      <c r="H12" s="162">
        <v>5.2776000000000005</v>
      </c>
      <c r="I12" s="162">
        <v>12.534299999999998</v>
      </c>
      <c r="J12" s="7"/>
      <c r="K12" s="7"/>
      <c r="L12" s="7"/>
      <c r="M12" s="7"/>
      <c r="N12" s="7"/>
      <c r="O12" s="7"/>
      <c r="P12" s="7"/>
      <c r="Q12" s="7"/>
      <c r="R12" s="24">
        <f>SUM(F12:Q12)</f>
        <v>19.1313</v>
      </c>
      <c r="S12" s="4">
        <v>5</v>
      </c>
    </row>
    <row r="13" spans="1:19">
      <c r="A13" s="18" t="s">
        <v>98</v>
      </c>
      <c r="B13" s="75">
        <f>HLOOKUP($B$7,$F$8:$Q$74,S13,FALSE)</f>
        <v>0</v>
      </c>
      <c r="E13" s="20" t="s">
        <v>28</v>
      </c>
      <c r="F13" s="77">
        <v>0</v>
      </c>
      <c r="G13" s="160">
        <v>0</v>
      </c>
      <c r="H13" s="77">
        <v>0</v>
      </c>
      <c r="I13" s="77">
        <v>0</v>
      </c>
      <c r="J13" s="77"/>
      <c r="K13" s="77"/>
      <c r="L13" s="77"/>
      <c r="M13" s="77"/>
      <c r="N13" s="77"/>
      <c r="O13" s="77"/>
      <c r="P13" s="77"/>
      <c r="Q13" s="77"/>
      <c r="R13" s="82">
        <f>SUM(F13:Q13)</f>
        <v>0</v>
      </c>
      <c r="S13" s="4">
        <v>6</v>
      </c>
    </row>
    <row r="14" spans="1:19">
      <c r="A14" s="61" t="s">
        <v>75</v>
      </c>
      <c r="B14" s="59"/>
      <c r="E14" s="5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34"/>
      <c r="S14" s="4">
        <v>7</v>
      </c>
    </row>
    <row r="15" spans="1:19">
      <c r="A15" s="1" t="s">
        <v>80</v>
      </c>
      <c r="B15" s="23">
        <f t="shared" ref="B15:B22" si="0">HLOOKUP($B$7,$F$8:$Q$74,S15,FALSE)</f>
        <v>34158</v>
      </c>
      <c r="E15" s="5"/>
      <c r="F15" s="24">
        <f t="shared" ref="F15:Q15" si="1">$F$3</f>
        <v>34158</v>
      </c>
      <c r="G15" s="24">
        <f t="shared" si="1"/>
        <v>34158</v>
      </c>
      <c r="H15" s="24">
        <f t="shared" si="1"/>
        <v>34158</v>
      </c>
      <c r="I15" s="24">
        <f t="shared" si="1"/>
        <v>34158</v>
      </c>
      <c r="J15" s="24">
        <f t="shared" si="1"/>
        <v>34158</v>
      </c>
      <c r="K15" s="24">
        <f t="shared" si="1"/>
        <v>34158</v>
      </c>
      <c r="L15" s="24">
        <f t="shared" si="1"/>
        <v>34158</v>
      </c>
      <c r="M15" s="24">
        <f t="shared" si="1"/>
        <v>34158</v>
      </c>
      <c r="N15" s="24">
        <f t="shared" si="1"/>
        <v>34158</v>
      </c>
      <c r="O15" s="24">
        <f t="shared" si="1"/>
        <v>34158</v>
      </c>
      <c r="P15" s="24">
        <f t="shared" si="1"/>
        <v>34158</v>
      </c>
      <c r="Q15" s="24">
        <f t="shared" si="1"/>
        <v>34158</v>
      </c>
      <c r="R15" s="25"/>
      <c r="S15" s="4">
        <v>8</v>
      </c>
    </row>
    <row r="16" spans="1:19">
      <c r="A16" s="1" t="s">
        <v>81</v>
      </c>
      <c r="B16" s="23">
        <f t="shared" si="0"/>
        <v>11386</v>
      </c>
      <c r="E16" s="5"/>
      <c r="F16" s="24">
        <f t="shared" ref="F16:Q16" si="2">F15*(F9/12)</f>
        <v>2846.5</v>
      </c>
      <c r="G16" s="24">
        <f t="shared" si="2"/>
        <v>5693</v>
      </c>
      <c r="H16" s="24">
        <f t="shared" si="2"/>
        <v>8539.5</v>
      </c>
      <c r="I16" s="24">
        <f t="shared" si="2"/>
        <v>11386</v>
      </c>
      <c r="J16" s="24">
        <f t="shared" si="2"/>
        <v>14232.5</v>
      </c>
      <c r="K16" s="24">
        <f t="shared" si="2"/>
        <v>17079</v>
      </c>
      <c r="L16" s="24">
        <f t="shared" si="2"/>
        <v>19925.5</v>
      </c>
      <c r="M16" s="24">
        <f t="shared" si="2"/>
        <v>22772</v>
      </c>
      <c r="N16" s="24">
        <f t="shared" si="2"/>
        <v>25618.5</v>
      </c>
      <c r="O16" s="24">
        <f t="shared" si="2"/>
        <v>28465</v>
      </c>
      <c r="P16" s="24">
        <f t="shared" si="2"/>
        <v>31311.5</v>
      </c>
      <c r="Q16" s="24">
        <f t="shared" si="2"/>
        <v>34158</v>
      </c>
      <c r="R16" s="25"/>
      <c r="S16" s="4">
        <v>9</v>
      </c>
    </row>
    <row r="17" spans="1:19">
      <c r="A17" s="86" t="s">
        <v>79</v>
      </c>
      <c r="B17" s="19">
        <f t="shared" si="0"/>
        <v>4235.2874999999995</v>
      </c>
      <c r="E17" s="5"/>
      <c r="F17" s="21">
        <f>F11</f>
        <v>0</v>
      </c>
      <c r="G17" s="21">
        <f t="shared" ref="G17:Q17" si="3">F17+G11</f>
        <v>286.56540000000001</v>
      </c>
      <c r="H17" s="21">
        <f t="shared" si="3"/>
        <v>1220.1533999999999</v>
      </c>
      <c r="I17" s="21">
        <f t="shared" si="3"/>
        <v>4235.2874999999995</v>
      </c>
      <c r="J17" s="21">
        <f t="shared" si="3"/>
        <v>4235.2874999999995</v>
      </c>
      <c r="K17" s="21">
        <f t="shared" si="3"/>
        <v>4235.2874999999995</v>
      </c>
      <c r="L17" s="21">
        <f t="shared" si="3"/>
        <v>4235.2874999999995</v>
      </c>
      <c r="M17" s="21">
        <f t="shared" si="3"/>
        <v>4235.2874999999995</v>
      </c>
      <c r="N17" s="21">
        <f t="shared" si="3"/>
        <v>4235.2874999999995</v>
      </c>
      <c r="O17" s="21">
        <f t="shared" si="3"/>
        <v>4235.2874999999995</v>
      </c>
      <c r="P17" s="21">
        <f t="shared" si="3"/>
        <v>4235.2874999999995</v>
      </c>
      <c r="Q17" s="21">
        <f t="shared" si="3"/>
        <v>4235.2874999999995</v>
      </c>
      <c r="R17" s="27"/>
      <c r="S17" s="4">
        <v>10</v>
      </c>
    </row>
    <row r="18" spans="1:19">
      <c r="A18" s="86" t="s">
        <v>11</v>
      </c>
      <c r="B18" s="19">
        <f t="shared" si="0"/>
        <v>842.59889999999996</v>
      </c>
      <c r="E18" s="20" t="s">
        <v>30</v>
      </c>
      <c r="F18" s="7">
        <v>0</v>
      </c>
      <c r="G18" s="122">
        <v>669.95820000000026</v>
      </c>
      <c r="H18" s="7">
        <v>611.18729999999994</v>
      </c>
      <c r="I18" s="7">
        <v>842.59889999999996</v>
      </c>
      <c r="J18" s="7"/>
      <c r="K18" s="7"/>
      <c r="L18" s="7"/>
      <c r="M18" s="7"/>
      <c r="N18" s="7"/>
      <c r="O18" s="7"/>
      <c r="P18" s="7"/>
      <c r="Q18" s="7"/>
      <c r="R18" s="27"/>
      <c r="S18" s="4">
        <v>11</v>
      </c>
    </row>
    <row r="19" spans="1:19">
      <c r="A19" s="87" t="s">
        <v>45</v>
      </c>
      <c r="B19" s="51">
        <f t="shared" si="0"/>
        <v>5077.8863999999994</v>
      </c>
      <c r="C19" s="92"/>
      <c r="D19" s="92"/>
      <c r="E19" s="92"/>
      <c r="F19" s="26">
        <f t="shared" ref="F19:Q19" si="4">F17+F18</f>
        <v>0</v>
      </c>
      <c r="G19" s="26">
        <f t="shared" si="4"/>
        <v>956.52360000000022</v>
      </c>
      <c r="H19" s="26">
        <f t="shared" si="4"/>
        <v>1831.3406999999997</v>
      </c>
      <c r="I19" s="26">
        <f t="shared" si="4"/>
        <v>5077.8863999999994</v>
      </c>
      <c r="J19" s="26">
        <f t="shared" si="4"/>
        <v>4235.2874999999995</v>
      </c>
      <c r="K19" s="26">
        <f t="shared" si="4"/>
        <v>4235.2874999999995</v>
      </c>
      <c r="L19" s="26">
        <f t="shared" si="4"/>
        <v>4235.2874999999995</v>
      </c>
      <c r="M19" s="26">
        <f t="shared" si="4"/>
        <v>4235.2874999999995</v>
      </c>
      <c r="N19" s="26">
        <f t="shared" si="4"/>
        <v>4235.2874999999995</v>
      </c>
      <c r="O19" s="26">
        <f t="shared" si="4"/>
        <v>4235.2874999999995</v>
      </c>
      <c r="P19" s="26">
        <f t="shared" si="4"/>
        <v>4235.2874999999995</v>
      </c>
      <c r="Q19" s="26">
        <f t="shared" si="4"/>
        <v>4235.2874999999995</v>
      </c>
      <c r="R19" s="28"/>
      <c r="S19" s="4">
        <v>12</v>
      </c>
    </row>
    <row r="20" spans="1:19">
      <c r="A20" s="86" t="s">
        <v>7</v>
      </c>
      <c r="B20" s="88">
        <f t="shared" si="0"/>
        <v>0.12399108554365008</v>
      </c>
      <c r="F20" s="88">
        <f t="shared" ref="F20:Q20" si="5">F17/F15</f>
        <v>0</v>
      </c>
      <c r="G20" s="88">
        <f t="shared" si="5"/>
        <v>8.3894080449675047E-3</v>
      </c>
      <c r="H20" s="88">
        <f t="shared" si="5"/>
        <v>3.5720867732302826E-2</v>
      </c>
      <c r="I20" s="88">
        <f t="shared" si="5"/>
        <v>0.12399108554365008</v>
      </c>
      <c r="J20" s="88">
        <f t="shared" si="5"/>
        <v>0.12399108554365008</v>
      </c>
      <c r="K20" s="88">
        <f t="shared" si="5"/>
        <v>0.12399108554365008</v>
      </c>
      <c r="L20" s="88">
        <f t="shared" si="5"/>
        <v>0.12399108554365008</v>
      </c>
      <c r="M20" s="88">
        <f t="shared" si="5"/>
        <v>0.12399108554365008</v>
      </c>
      <c r="N20" s="88">
        <f t="shared" si="5"/>
        <v>0.12399108554365008</v>
      </c>
      <c r="O20" s="88">
        <f t="shared" si="5"/>
        <v>0.12399108554365008</v>
      </c>
      <c r="P20" s="88">
        <f t="shared" si="5"/>
        <v>0.12399108554365008</v>
      </c>
      <c r="Q20" s="88">
        <f t="shared" si="5"/>
        <v>0.12399108554365008</v>
      </c>
      <c r="R20" s="39"/>
      <c r="S20" s="4">
        <v>13</v>
      </c>
    </row>
    <row r="21" spans="1:19">
      <c r="A21" s="86" t="s">
        <v>49</v>
      </c>
      <c r="B21" s="88">
        <f t="shared" si="0"/>
        <v>0.14865877393290003</v>
      </c>
      <c r="F21" s="88">
        <f t="shared" ref="F21:Q21" si="6">F19/F15</f>
        <v>0</v>
      </c>
      <c r="G21" s="88">
        <f t="shared" si="6"/>
        <v>2.8002915861584408E-2</v>
      </c>
      <c r="H21" s="88">
        <f t="shared" si="6"/>
        <v>5.3613815211663439E-2</v>
      </c>
      <c r="I21" s="88">
        <f t="shared" si="6"/>
        <v>0.14865877393290003</v>
      </c>
      <c r="J21" s="88">
        <f t="shared" si="6"/>
        <v>0.12399108554365008</v>
      </c>
      <c r="K21" s="88">
        <f t="shared" si="6"/>
        <v>0.12399108554365008</v>
      </c>
      <c r="L21" s="88">
        <f t="shared" si="6"/>
        <v>0.12399108554365008</v>
      </c>
      <c r="M21" s="88">
        <f t="shared" si="6"/>
        <v>0.12399108554365008</v>
      </c>
      <c r="N21" s="88">
        <f t="shared" si="6"/>
        <v>0.12399108554365008</v>
      </c>
      <c r="O21" s="88">
        <f t="shared" si="6"/>
        <v>0.12399108554365008</v>
      </c>
      <c r="P21" s="88">
        <f t="shared" si="6"/>
        <v>0.12399108554365008</v>
      </c>
      <c r="Q21" s="88">
        <f t="shared" si="6"/>
        <v>0.12399108554365008</v>
      </c>
      <c r="R21" s="39"/>
      <c r="S21" s="4">
        <v>14</v>
      </c>
    </row>
    <row r="22" spans="1:19">
      <c r="A22" s="86" t="s">
        <v>6</v>
      </c>
      <c r="B22" s="88">
        <f t="shared" si="0"/>
        <v>0.37197325663095027</v>
      </c>
      <c r="F22" s="88">
        <f t="shared" ref="F22:Q22" si="7">F17/F16</f>
        <v>0</v>
      </c>
      <c r="G22" s="88">
        <f t="shared" si="7"/>
        <v>5.0336448269805024E-2</v>
      </c>
      <c r="H22" s="88">
        <f t="shared" si="7"/>
        <v>0.1428834709292113</v>
      </c>
      <c r="I22" s="88">
        <f t="shared" si="7"/>
        <v>0.37197325663095027</v>
      </c>
      <c r="J22" s="88">
        <f t="shared" si="7"/>
        <v>0.29757860530476021</v>
      </c>
      <c r="K22" s="88">
        <f t="shared" si="7"/>
        <v>0.24798217108730017</v>
      </c>
      <c r="L22" s="88">
        <f t="shared" si="7"/>
        <v>0.21255614664625727</v>
      </c>
      <c r="M22" s="88">
        <f t="shared" si="7"/>
        <v>0.18598662831547513</v>
      </c>
      <c r="N22" s="88">
        <f t="shared" si="7"/>
        <v>0.16532144739153343</v>
      </c>
      <c r="O22" s="88">
        <f t="shared" si="7"/>
        <v>0.14878930265238011</v>
      </c>
      <c r="P22" s="88">
        <f t="shared" si="7"/>
        <v>0.13526300241125463</v>
      </c>
      <c r="Q22" s="88">
        <f t="shared" si="7"/>
        <v>0.12399108554365008</v>
      </c>
      <c r="R22" s="39"/>
      <c r="S22" s="4">
        <v>15</v>
      </c>
    </row>
    <row r="23" spans="1:19">
      <c r="A23" s="61" t="s">
        <v>76</v>
      </c>
      <c r="B23" s="59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34"/>
      <c r="S23" s="4">
        <v>16</v>
      </c>
    </row>
    <row r="24" spans="1:19">
      <c r="A24" s="86" t="s">
        <v>82</v>
      </c>
      <c r="B24" s="19">
        <f>HLOOKUP($B$7,$F$8:$Q$74,S24,FALSE)</f>
        <v>19.1313</v>
      </c>
      <c r="F24" s="21">
        <f>F12</f>
        <v>0</v>
      </c>
      <c r="G24" s="21">
        <f t="shared" ref="G24:Q24" si="8">F24+G12</f>
        <v>1.3194000000000001</v>
      </c>
      <c r="H24" s="21">
        <f t="shared" si="8"/>
        <v>6.5970000000000004</v>
      </c>
      <c r="I24" s="21">
        <f t="shared" si="8"/>
        <v>19.1313</v>
      </c>
      <c r="J24" s="21">
        <f t="shared" si="8"/>
        <v>19.1313</v>
      </c>
      <c r="K24" s="21">
        <f t="shared" si="8"/>
        <v>19.1313</v>
      </c>
      <c r="L24" s="21">
        <f t="shared" si="8"/>
        <v>19.1313</v>
      </c>
      <c r="M24" s="21">
        <f t="shared" si="8"/>
        <v>19.1313</v>
      </c>
      <c r="N24" s="21">
        <f t="shared" si="8"/>
        <v>19.1313</v>
      </c>
      <c r="O24" s="21">
        <f t="shared" si="8"/>
        <v>19.1313</v>
      </c>
      <c r="P24" s="21">
        <f t="shared" si="8"/>
        <v>19.1313</v>
      </c>
      <c r="Q24" s="21">
        <f t="shared" si="8"/>
        <v>19.1313</v>
      </c>
      <c r="R24" s="34"/>
      <c r="S24" s="4">
        <v>17</v>
      </c>
    </row>
    <row r="25" spans="1:19">
      <c r="A25" s="86" t="s">
        <v>14</v>
      </c>
      <c r="B25" s="19">
        <f>HLOOKUP($B$7,$F$8:$Q$74,S25,FALSE)</f>
        <v>1.3194000000000001</v>
      </c>
      <c r="E25" s="20" t="s">
        <v>30</v>
      </c>
      <c r="F25" s="7">
        <v>0</v>
      </c>
      <c r="G25" s="122">
        <v>2.6388000000000003</v>
      </c>
      <c r="H25" s="7">
        <v>0</v>
      </c>
      <c r="I25" s="7">
        <v>1.3194000000000001</v>
      </c>
      <c r="J25" s="7"/>
      <c r="K25" s="7"/>
      <c r="L25" s="7"/>
      <c r="M25" s="7"/>
      <c r="N25" s="7"/>
      <c r="O25" s="7"/>
      <c r="P25" s="7"/>
      <c r="Q25" s="7"/>
      <c r="R25" s="34"/>
      <c r="S25" s="4">
        <v>18</v>
      </c>
    </row>
    <row r="26" spans="1:19">
      <c r="A26" s="89" t="s">
        <v>47</v>
      </c>
      <c r="B26" s="51">
        <f>HLOOKUP($B$7,$F$8:$Q$74,S26,FALSE)</f>
        <v>20.450700000000001</v>
      </c>
      <c r="C26" s="92"/>
      <c r="D26" s="92"/>
      <c r="E26" s="92"/>
      <c r="F26" s="26">
        <f t="shared" ref="F26:Q26" si="9">F24+F25</f>
        <v>0</v>
      </c>
      <c r="G26" s="26">
        <f t="shared" si="9"/>
        <v>3.9582000000000006</v>
      </c>
      <c r="H26" s="26">
        <f t="shared" si="9"/>
        <v>6.5970000000000004</v>
      </c>
      <c r="I26" s="26">
        <f t="shared" si="9"/>
        <v>20.450700000000001</v>
      </c>
      <c r="J26" s="26">
        <f t="shared" si="9"/>
        <v>19.1313</v>
      </c>
      <c r="K26" s="26">
        <f t="shared" si="9"/>
        <v>19.1313</v>
      </c>
      <c r="L26" s="26">
        <f t="shared" si="9"/>
        <v>19.1313</v>
      </c>
      <c r="M26" s="26">
        <f t="shared" si="9"/>
        <v>19.1313</v>
      </c>
      <c r="N26" s="26">
        <f t="shared" si="9"/>
        <v>19.1313</v>
      </c>
      <c r="O26" s="26">
        <f t="shared" si="9"/>
        <v>19.1313</v>
      </c>
      <c r="P26" s="26">
        <f t="shared" si="9"/>
        <v>19.1313</v>
      </c>
      <c r="Q26" s="26">
        <f t="shared" si="9"/>
        <v>19.1313</v>
      </c>
      <c r="R26" s="34"/>
      <c r="S26" s="4">
        <v>19</v>
      </c>
    </row>
    <row r="27" spans="1:19">
      <c r="A27" s="61" t="s">
        <v>77</v>
      </c>
      <c r="B27" s="50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34"/>
      <c r="S27" s="4">
        <v>20</v>
      </c>
    </row>
    <row r="28" spans="1:19">
      <c r="A28" s="86" t="s">
        <v>83</v>
      </c>
      <c r="B28" s="75">
        <f>HLOOKUP($B$7,$F$8:$Q$74,S28,FALSE)</f>
        <v>0</v>
      </c>
      <c r="F28" s="74">
        <f>F13</f>
        <v>0</v>
      </c>
      <c r="G28" s="74">
        <f t="shared" ref="G28:Q28" si="10">F28+G13</f>
        <v>0</v>
      </c>
      <c r="H28" s="74">
        <f t="shared" si="10"/>
        <v>0</v>
      </c>
      <c r="I28" s="74">
        <f t="shared" si="10"/>
        <v>0</v>
      </c>
      <c r="J28" s="74">
        <f t="shared" si="10"/>
        <v>0</v>
      </c>
      <c r="K28" s="74">
        <f t="shared" si="10"/>
        <v>0</v>
      </c>
      <c r="L28" s="74">
        <f t="shared" si="10"/>
        <v>0</v>
      </c>
      <c r="M28" s="74">
        <f t="shared" si="10"/>
        <v>0</v>
      </c>
      <c r="N28" s="74">
        <f t="shared" si="10"/>
        <v>0</v>
      </c>
      <c r="O28" s="74">
        <f t="shared" si="10"/>
        <v>0</v>
      </c>
      <c r="P28" s="74">
        <f t="shared" si="10"/>
        <v>0</v>
      </c>
      <c r="Q28" s="74">
        <f t="shared" si="10"/>
        <v>0</v>
      </c>
      <c r="R28" s="28"/>
      <c r="S28" s="4">
        <v>21</v>
      </c>
    </row>
    <row r="29" spans="1:19">
      <c r="A29" s="86" t="s">
        <v>15</v>
      </c>
      <c r="B29" s="75">
        <f>HLOOKUP($B$7,$F$8:$Q$74,S29,FALSE)</f>
        <v>0</v>
      </c>
      <c r="E29" s="20" t="s">
        <v>30</v>
      </c>
      <c r="F29" s="77">
        <v>0</v>
      </c>
      <c r="G29" s="77">
        <v>0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28"/>
      <c r="S29" s="4">
        <v>22</v>
      </c>
    </row>
    <row r="30" spans="1:19">
      <c r="A30" s="89" t="s">
        <v>26</v>
      </c>
      <c r="B30" s="83">
        <f>HLOOKUP($B$7,$F$8:$Q$74,S30,FALSE)</f>
        <v>0</v>
      </c>
      <c r="C30" s="92"/>
      <c r="D30" s="92"/>
      <c r="E30" s="92"/>
      <c r="F30" s="94">
        <f t="shared" ref="F30:Q30" si="11">F28+F29</f>
        <v>0</v>
      </c>
      <c r="G30" s="94">
        <f t="shared" si="11"/>
        <v>0</v>
      </c>
      <c r="H30" s="94">
        <f t="shared" si="11"/>
        <v>0</v>
      </c>
      <c r="I30" s="94">
        <f t="shared" si="11"/>
        <v>0</v>
      </c>
      <c r="J30" s="94">
        <f t="shared" si="11"/>
        <v>0</v>
      </c>
      <c r="K30" s="94">
        <f t="shared" si="11"/>
        <v>0</v>
      </c>
      <c r="L30" s="94">
        <f t="shared" si="11"/>
        <v>0</v>
      </c>
      <c r="M30" s="94">
        <f t="shared" si="11"/>
        <v>0</v>
      </c>
      <c r="N30" s="94">
        <f t="shared" si="11"/>
        <v>0</v>
      </c>
      <c r="O30" s="94">
        <f t="shared" si="11"/>
        <v>0</v>
      </c>
      <c r="P30" s="94">
        <f t="shared" si="11"/>
        <v>0</v>
      </c>
      <c r="Q30" s="94">
        <f t="shared" si="11"/>
        <v>0</v>
      </c>
      <c r="R30" s="28"/>
      <c r="S30" s="4">
        <v>23</v>
      </c>
    </row>
    <row r="31" spans="1:19">
      <c r="A31" s="61" t="s">
        <v>94</v>
      </c>
      <c r="B31" s="59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34"/>
      <c r="S31" s="4">
        <v>24</v>
      </c>
    </row>
    <row r="32" spans="1:19">
      <c r="A32" s="90" t="s">
        <v>50</v>
      </c>
      <c r="B32" s="49">
        <f t="shared" ref="B32:B40" si="12">HLOOKUP($B$7,$F$8:$Q$74,S32,FALSE)</f>
        <v>5315.37</v>
      </c>
      <c r="E32" s="20" t="s">
        <v>28</v>
      </c>
      <c r="F32" s="9">
        <v>988.75</v>
      </c>
      <c r="G32" s="9">
        <v>11871.02</v>
      </c>
      <c r="H32" s="9">
        <v>5520.82</v>
      </c>
      <c r="I32" s="9">
        <v>5315.37</v>
      </c>
      <c r="J32" s="9"/>
      <c r="K32" s="9"/>
      <c r="L32" s="9"/>
      <c r="M32" s="9"/>
      <c r="N32" s="9"/>
      <c r="O32" s="9"/>
      <c r="P32" s="9"/>
      <c r="Q32" s="9"/>
      <c r="R32" s="85">
        <f t="shared" ref="R32:R40" si="13">SUM(F32:Q32)</f>
        <v>23695.96</v>
      </c>
      <c r="S32" s="4">
        <v>25</v>
      </c>
    </row>
    <row r="33" spans="1:19">
      <c r="A33" s="90" t="s">
        <v>51</v>
      </c>
      <c r="B33" s="49">
        <f t="shared" si="12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si="13"/>
        <v>0</v>
      </c>
      <c r="S33" s="4">
        <v>26</v>
      </c>
    </row>
    <row r="34" spans="1:19">
      <c r="A34" s="90" t="s">
        <v>52</v>
      </c>
      <c r="B34" s="49">
        <f t="shared" si="12"/>
        <v>4369.53</v>
      </c>
      <c r="E34" s="20" t="s">
        <v>28</v>
      </c>
      <c r="F34" s="9">
        <v>0</v>
      </c>
      <c r="G34" s="9">
        <v>0</v>
      </c>
      <c r="H34" s="9">
        <v>2128.56</v>
      </c>
      <c r="I34" s="9">
        <v>4369.53</v>
      </c>
      <c r="J34" s="9"/>
      <c r="K34" s="9"/>
      <c r="L34" s="9"/>
      <c r="M34" s="9"/>
      <c r="N34" s="9"/>
      <c r="O34" s="9"/>
      <c r="P34" s="9"/>
      <c r="Q34" s="9"/>
      <c r="R34" s="85">
        <f t="shared" si="13"/>
        <v>6498.09</v>
      </c>
      <c r="S34" s="4">
        <v>27</v>
      </c>
    </row>
    <row r="35" spans="1:19">
      <c r="A35" s="90" t="s">
        <v>53</v>
      </c>
      <c r="B35" s="49">
        <f t="shared" si="12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3"/>
        <v>0</v>
      </c>
      <c r="S35" s="4">
        <v>28</v>
      </c>
    </row>
    <row r="36" spans="1:19">
      <c r="A36" s="90" t="s">
        <v>54</v>
      </c>
      <c r="B36" s="49">
        <f t="shared" si="12"/>
        <v>37775</v>
      </c>
      <c r="E36" s="20" t="s">
        <v>28</v>
      </c>
      <c r="F36" s="9">
        <v>0</v>
      </c>
      <c r="G36" s="9">
        <v>7850</v>
      </c>
      <c r="H36" s="9">
        <v>36975</v>
      </c>
      <c r="I36" s="9">
        <v>37775</v>
      </c>
      <c r="J36" s="9"/>
      <c r="K36" s="9"/>
      <c r="L36" s="9"/>
      <c r="M36" s="9"/>
      <c r="N36" s="9"/>
      <c r="O36" s="9"/>
      <c r="P36" s="9"/>
      <c r="Q36" s="9"/>
      <c r="R36" s="85">
        <f t="shared" si="13"/>
        <v>82600</v>
      </c>
      <c r="S36" s="4">
        <v>29</v>
      </c>
    </row>
    <row r="37" spans="1:19">
      <c r="A37" s="90" t="s">
        <v>55</v>
      </c>
      <c r="B37" s="49">
        <f t="shared" si="12"/>
        <v>21867.86</v>
      </c>
      <c r="E37" s="20" t="s">
        <v>28</v>
      </c>
      <c r="F37" s="9">
        <v>0</v>
      </c>
      <c r="G37" s="9">
        <v>647.84</v>
      </c>
      <c r="H37" s="9">
        <v>1573.52</v>
      </c>
      <c r="I37" s="9">
        <v>21867.86</v>
      </c>
      <c r="J37" s="9"/>
      <c r="K37" s="9"/>
      <c r="L37" s="9"/>
      <c r="M37" s="9"/>
      <c r="N37" s="9"/>
      <c r="O37" s="9"/>
      <c r="P37" s="9"/>
      <c r="Q37" s="9"/>
      <c r="R37" s="85">
        <f t="shared" si="13"/>
        <v>24089.22</v>
      </c>
      <c r="S37" s="4">
        <v>30</v>
      </c>
    </row>
    <row r="38" spans="1:19">
      <c r="A38" s="90" t="s">
        <v>56</v>
      </c>
      <c r="B38" s="49">
        <f t="shared" si="12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 t="shared" si="13"/>
        <v>0</v>
      </c>
      <c r="S38" s="4">
        <v>31</v>
      </c>
    </row>
    <row r="39" spans="1:19">
      <c r="A39" s="90" t="s">
        <v>95</v>
      </c>
      <c r="B39" s="49">
        <f t="shared" si="12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>
        <f t="shared" si="13"/>
        <v>0</v>
      </c>
      <c r="S39" s="4">
        <v>32</v>
      </c>
    </row>
    <row r="40" spans="1:19">
      <c r="A40" s="91" t="s">
        <v>57</v>
      </c>
      <c r="B40" s="48">
        <f t="shared" si="12"/>
        <v>69327.760000000009</v>
      </c>
      <c r="C40" s="92"/>
      <c r="D40" s="92"/>
      <c r="E40" s="93"/>
      <c r="F40" s="36">
        <f t="shared" ref="F40:Q40" si="14">SUM(F32:F39)</f>
        <v>988.75</v>
      </c>
      <c r="G40" s="36">
        <f t="shared" si="14"/>
        <v>20368.86</v>
      </c>
      <c r="H40" s="36">
        <f t="shared" si="14"/>
        <v>46197.899999999994</v>
      </c>
      <c r="I40" s="36">
        <f t="shared" si="14"/>
        <v>69327.760000000009</v>
      </c>
      <c r="J40" s="36">
        <f t="shared" si="14"/>
        <v>0</v>
      </c>
      <c r="K40" s="36">
        <f t="shared" si="14"/>
        <v>0</v>
      </c>
      <c r="L40" s="36">
        <f t="shared" si="14"/>
        <v>0</v>
      </c>
      <c r="M40" s="36">
        <f t="shared" si="14"/>
        <v>0</v>
      </c>
      <c r="N40" s="36">
        <f t="shared" si="14"/>
        <v>0</v>
      </c>
      <c r="O40" s="36">
        <f t="shared" si="14"/>
        <v>0</v>
      </c>
      <c r="P40" s="36">
        <f t="shared" si="14"/>
        <v>0</v>
      </c>
      <c r="Q40" s="36">
        <f t="shared" si="14"/>
        <v>0</v>
      </c>
      <c r="R40" s="66">
        <f t="shared" si="13"/>
        <v>136883.27000000002</v>
      </c>
      <c r="S40" s="4">
        <v>33</v>
      </c>
    </row>
    <row r="41" spans="1:19">
      <c r="A41" s="61" t="s">
        <v>96</v>
      </c>
      <c r="B41" s="59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34"/>
      <c r="S41" s="4">
        <v>34</v>
      </c>
    </row>
    <row r="42" spans="1:19">
      <c r="A42" s="90" t="s">
        <v>100</v>
      </c>
      <c r="B42" s="49">
        <f t="shared" ref="B42:B49" si="15">HLOOKUP($B$7,$F$8:$Q$74,S42,FALSE)</f>
        <v>456.29769142017824</v>
      </c>
      <c r="E42" s="20" t="s">
        <v>30</v>
      </c>
      <c r="F42" s="9">
        <v>0</v>
      </c>
      <c r="G42" s="9">
        <v>382.01339415540957</v>
      </c>
      <c r="H42" s="9">
        <v>339.46466701140463</v>
      </c>
      <c r="I42" s="9">
        <v>456.29769142017824</v>
      </c>
      <c r="J42" s="9"/>
      <c r="K42" s="9"/>
      <c r="L42" s="9"/>
      <c r="M42" s="9"/>
      <c r="N42" s="9"/>
      <c r="O42" s="9"/>
      <c r="P42" s="9"/>
      <c r="Q42" s="9"/>
      <c r="R42" s="34"/>
      <c r="S42" s="4">
        <v>35</v>
      </c>
    </row>
    <row r="43" spans="1:19">
      <c r="A43" s="90" t="s">
        <v>101</v>
      </c>
      <c r="B43" s="49">
        <f t="shared" si="15"/>
        <v>8.8729781535541523</v>
      </c>
      <c r="E43" s="20" t="s">
        <v>30</v>
      </c>
      <c r="F43" s="9">
        <v>0</v>
      </c>
      <c r="G43" s="9">
        <v>0</v>
      </c>
      <c r="H43" s="9">
        <v>0</v>
      </c>
      <c r="I43" s="9">
        <v>8.8729781535541523</v>
      </c>
      <c r="J43" s="9"/>
      <c r="K43" s="9"/>
      <c r="L43" s="9"/>
      <c r="M43" s="9"/>
      <c r="N43" s="9"/>
      <c r="O43" s="9"/>
      <c r="P43" s="9"/>
      <c r="Q43" s="9"/>
      <c r="R43" s="34"/>
      <c r="S43" s="4">
        <v>36</v>
      </c>
    </row>
    <row r="44" spans="1:19">
      <c r="A44" s="90" t="s">
        <v>102</v>
      </c>
      <c r="B44" s="49">
        <f t="shared" si="15"/>
        <v>892.01136266262404</v>
      </c>
      <c r="E44" s="20" t="s">
        <v>30</v>
      </c>
      <c r="F44" s="9">
        <v>0</v>
      </c>
      <c r="G44" s="9">
        <v>752.17339921601422</v>
      </c>
      <c r="H44" s="9">
        <v>660.24556244323492</v>
      </c>
      <c r="I44" s="9">
        <v>892.01136266262404</v>
      </c>
      <c r="J44" s="9"/>
      <c r="K44" s="9"/>
      <c r="L44" s="9"/>
      <c r="M44" s="9"/>
      <c r="N44" s="9"/>
      <c r="O44" s="9"/>
      <c r="P44" s="9"/>
      <c r="Q44" s="9"/>
      <c r="R44" s="34"/>
      <c r="S44" s="4">
        <v>37</v>
      </c>
    </row>
    <row r="45" spans="1:19">
      <c r="A45" s="90" t="s">
        <v>103</v>
      </c>
      <c r="B45" s="49">
        <f t="shared" si="15"/>
        <v>13.552532624220309</v>
      </c>
      <c r="E45" s="20" t="s">
        <v>30</v>
      </c>
      <c r="F45" s="9">
        <v>0</v>
      </c>
      <c r="G45" s="9">
        <v>0</v>
      </c>
      <c r="H45" s="9">
        <v>0</v>
      </c>
      <c r="I45" s="9">
        <v>13.552532624220309</v>
      </c>
      <c r="J45" s="9"/>
      <c r="K45" s="9"/>
      <c r="L45" s="9"/>
      <c r="M45" s="9"/>
      <c r="N45" s="9"/>
      <c r="O45" s="9"/>
      <c r="P45" s="9"/>
      <c r="Q45" s="9"/>
      <c r="R45" s="34"/>
      <c r="S45" s="4">
        <v>38</v>
      </c>
    </row>
    <row r="46" spans="1:19">
      <c r="A46" s="90" t="s">
        <v>104</v>
      </c>
      <c r="B46" s="49">
        <f t="shared" si="15"/>
        <v>1754.7498634512958</v>
      </c>
      <c r="E46" s="20" t="s">
        <v>30</v>
      </c>
      <c r="F46" s="9">
        <v>0</v>
      </c>
      <c r="G46" s="9">
        <v>1435.5839374574421</v>
      </c>
      <c r="H46" s="9">
        <v>1274.6248501491652</v>
      </c>
      <c r="I46" s="9">
        <v>1754.7498634512958</v>
      </c>
      <c r="J46" s="9"/>
      <c r="K46" s="9"/>
      <c r="L46" s="9"/>
      <c r="M46" s="9"/>
      <c r="N46" s="9"/>
      <c r="O46" s="9"/>
      <c r="P46" s="9"/>
      <c r="Q46" s="9"/>
      <c r="R46" s="34"/>
      <c r="S46" s="4">
        <v>39</v>
      </c>
    </row>
    <row r="47" spans="1:19">
      <c r="A47" s="90" t="s">
        <v>105</v>
      </c>
      <c r="B47" s="49">
        <f t="shared" si="15"/>
        <v>1055.3955083548635</v>
      </c>
      <c r="E47" s="20" t="s">
        <v>30</v>
      </c>
      <c r="F47" s="9">
        <v>0</v>
      </c>
      <c r="G47" s="9">
        <v>975.62543652388388</v>
      </c>
      <c r="H47" s="9">
        <v>817.47110497475956</v>
      </c>
      <c r="I47" s="9">
        <v>1055.3955083548635</v>
      </c>
      <c r="J47" s="9"/>
      <c r="K47" s="9"/>
      <c r="L47" s="9"/>
      <c r="M47" s="9"/>
      <c r="N47" s="9"/>
      <c r="O47" s="9"/>
      <c r="P47" s="9"/>
      <c r="Q47" s="9"/>
      <c r="R47" s="34"/>
      <c r="S47" s="4">
        <v>40</v>
      </c>
    </row>
    <row r="48" spans="1:19">
      <c r="A48" s="90" t="s">
        <v>106</v>
      </c>
      <c r="B48" s="49">
        <f t="shared" si="15"/>
        <v>233.4451232662519</v>
      </c>
      <c r="E48" s="20" t="s">
        <v>30</v>
      </c>
      <c r="F48" s="9">
        <v>0</v>
      </c>
      <c r="G48" s="9">
        <v>201.41298848020026</v>
      </c>
      <c r="H48" s="9">
        <v>170.33897576930389</v>
      </c>
      <c r="I48" s="9">
        <v>233.4451232662519</v>
      </c>
      <c r="J48" s="9"/>
      <c r="K48" s="9"/>
      <c r="L48" s="9"/>
      <c r="M48" s="9"/>
      <c r="N48" s="9"/>
      <c r="O48" s="9"/>
      <c r="P48" s="9"/>
      <c r="Q48" s="9"/>
      <c r="R48" s="34"/>
      <c r="S48" s="4">
        <v>41</v>
      </c>
    </row>
    <row r="49" spans="1:19">
      <c r="A49" s="90" t="s">
        <v>107</v>
      </c>
      <c r="B49" s="49">
        <f t="shared" si="15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34"/>
      <c r="S49" s="4">
        <v>42</v>
      </c>
    </row>
    <row r="50" spans="1:19">
      <c r="A50" s="61" t="s">
        <v>78</v>
      </c>
      <c r="B50" s="59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34"/>
      <c r="S50" s="4">
        <v>43</v>
      </c>
    </row>
    <row r="51" spans="1:19">
      <c r="A51" s="1" t="s">
        <v>71</v>
      </c>
      <c r="B51" s="33">
        <f t="shared" ref="B51:B58" si="16">HLOOKUP($B$7,$F$8:$Q$74,S51,FALSE)</f>
        <v>2802406</v>
      </c>
      <c r="F51" s="32">
        <f t="shared" ref="F51:Q51" si="17">$F$4+$F$5</f>
        <v>2802406</v>
      </c>
      <c r="G51" s="32">
        <f t="shared" si="17"/>
        <v>2802406</v>
      </c>
      <c r="H51" s="32">
        <f t="shared" si="17"/>
        <v>2802406</v>
      </c>
      <c r="I51" s="32">
        <f t="shared" si="17"/>
        <v>2802406</v>
      </c>
      <c r="J51" s="32">
        <f t="shared" si="17"/>
        <v>2802406</v>
      </c>
      <c r="K51" s="32">
        <f t="shared" si="17"/>
        <v>2802406</v>
      </c>
      <c r="L51" s="32">
        <f t="shared" si="17"/>
        <v>2802406</v>
      </c>
      <c r="M51" s="32">
        <f t="shared" si="17"/>
        <v>2802406</v>
      </c>
      <c r="N51" s="32">
        <f t="shared" si="17"/>
        <v>2802406</v>
      </c>
      <c r="O51" s="32">
        <f t="shared" si="17"/>
        <v>2802406</v>
      </c>
      <c r="P51" s="32">
        <f t="shared" si="17"/>
        <v>2802406</v>
      </c>
      <c r="Q51" s="32">
        <f t="shared" si="17"/>
        <v>2802406</v>
      </c>
      <c r="R51" s="62"/>
      <c r="S51" s="4">
        <v>44</v>
      </c>
    </row>
    <row r="52" spans="1:19">
      <c r="A52" s="1" t="s">
        <v>72</v>
      </c>
      <c r="B52" s="33">
        <f t="shared" si="16"/>
        <v>934135.33333333326</v>
      </c>
      <c r="F52" s="33">
        <f t="shared" ref="F52:Q52" si="18">F51*(F9/12)</f>
        <v>233533.83333333331</v>
      </c>
      <c r="G52" s="33">
        <f t="shared" si="18"/>
        <v>467067.66666666663</v>
      </c>
      <c r="H52" s="33">
        <f t="shared" si="18"/>
        <v>700601.5</v>
      </c>
      <c r="I52" s="33">
        <f t="shared" si="18"/>
        <v>934135.33333333326</v>
      </c>
      <c r="J52" s="33">
        <f t="shared" si="18"/>
        <v>1167669.1666666667</v>
      </c>
      <c r="K52" s="33">
        <f t="shared" si="18"/>
        <v>1401203</v>
      </c>
      <c r="L52" s="33">
        <f t="shared" si="18"/>
        <v>1634736.8333333335</v>
      </c>
      <c r="M52" s="33">
        <f t="shared" si="18"/>
        <v>1868270.6666666665</v>
      </c>
      <c r="N52" s="33">
        <f t="shared" si="18"/>
        <v>2101804.5</v>
      </c>
      <c r="O52" s="33">
        <f t="shared" si="18"/>
        <v>2335338.3333333335</v>
      </c>
      <c r="P52" s="33">
        <f t="shared" si="18"/>
        <v>2568872.1666666665</v>
      </c>
      <c r="Q52" s="33">
        <f t="shared" si="18"/>
        <v>2802406</v>
      </c>
      <c r="R52" s="34"/>
      <c r="S52" s="4">
        <v>45</v>
      </c>
    </row>
    <row r="53" spans="1:19">
      <c r="A53" s="86" t="s">
        <v>67</v>
      </c>
      <c r="B53" s="49">
        <f t="shared" si="16"/>
        <v>136883.27000000002</v>
      </c>
      <c r="F53" s="37">
        <f>SUM(F32:F38)</f>
        <v>988.75</v>
      </c>
      <c r="G53" s="37">
        <f t="shared" ref="G53:Q53" si="19">F53+G40</f>
        <v>21357.61</v>
      </c>
      <c r="H53" s="37">
        <f t="shared" si="19"/>
        <v>67555.509999999995</v>
      </c>
      <c r="I53" s="37">
        <f t="shared" si="19"/>
        <v>136883.27000000002</v>
      </c>
      <c r="J53" s="37">
        <f t="shared" si="19"/>
        <v>136883.27000000002</v>
      </c>
      <c r="K53" s="37">
        <f t="shared" si="19"/>
        <v>136883.27000000002</v>
      </c>
      <c r="L53" s="37">
        <f t="shared" si="19"/>
        <v>136883.27000000002</v>
      </c>
      <c r="M53" s="37">
        <f t="shared" si="19"/>
        <v>136883.27000000002</v>
      </c>
      <c r="N53" s="37">
        <f t="shared" si="19"/>
        <v>136883.27000000002</v>
      </c>
      <c r="O53" s="37">
        <f t="shared" si="19"/>
        <v>136883.27000000002</v>
      </c>
      <c r="P53" s="37">
        <f t="shared" si="19"/>
        <v>136883.27000000002</v>
      </c>
      <c r="Q53" s="37">
        <f t="shared" si="19"/>
        <v>136883.27000000002</v>
      </c>
      <c r="R53" s="38"/>
      <c r="S53" s="4">
        <v>46</v>
      </c>
    </row>
    <row r="54" spans="1:19">
      <c r="A54" s="86" t="s">
        <v>97</v>
      </c>
      <c r="B54" s="49">
        <f t="shared" si="16"/>
        <v>4414.3250599329886</v>
      </c>
      <c r="E54" s="3"/>
      <c r="F54" s="37">
        <f t="shared" ref="F54:Q54" si="20">SUM(F42:F49)</f>
        <v>0</v>
      </c>
      <c r="G54" s="37">
        <f t="shared" si="20"/>
        <v>3746.8091558329497</v>
      </c>
      <c r="H54" s="37">
        <f t="shared" si="20"/>
        <v>3262.1451603478681</v>
      </c>
      <c r="I54" s="37">
        <f t="shared" si="20"/>
        <v>4414.3250599329886</v>
      </c>
      <c r="J54" s="37">
        <f t="shared" si="20"/>
        <v>0</v>
      </c>
      <c r="K54" s="37">
        <f t="shared" si="20"/>
        <v>0</v>
      </c>
      <c r="L54" s="37">
        <f t="shared" si="20"/>
        <v>0</v>
      </c>
      <c r="M54" s="37">
        <f t="shared" si="20"/>
        <v>0</v>
      </c>
      <c r="N54" s="37">
        <f t="shared" si="20"/>
        <v>0</v>
      </c>
      <c r="O54" s="37">
        <f t="shared" si="20"/>
        <v>0</v>
      </c>
      <c r="P54" s="37">
        <f t="shared" si="20"/>
        <v>0</v>
      </c>
      <c r="Q54" s="37">
        <f t="shared" si="20"/>
        <v>0</v>
      </c>
      <c r="R54" s="38"/>
      <c r="S54" s="4">
        <v>47</v>
      </c>
    </row>
    <row r="55" spans="1:19">
      <c r="A55" s="91" t="s">
        <v>68</v>
      </c>
      <c r="B55" s="48">
        <f t="shared" si="16"/>
        <v>141297.595059933</v>
      </c>
      <c r="C55" s="92"/>
      <c r="D55" s="92"/>
      <c r="E55" s="93"/>
      <c r="F55" s="36">
        <f t="shared" ref="F55:Q55" si="21">F53+F54</f>
        <v>988.75</v>
      </c>
      <c r="G55" s="36">
        <f t="shared" si="21"/>
        <v>25104.419155832951</v>
      </c>
      <c r="H55" s="36">
        <f t="shared" si="21"/>
        <v>70817.655160347858</v>
      </c>
      <c r="I55" s="36">
        <f t="shared" si="21"/>
        <v>141297.595059933</v>
      </c>
      <c r="J55" s="36">
        <f t="shared" si="21"/>
        <v>136883.27000000002</v>
      </c>
      <c r="K55" s="36">
        <f t="shared" si="21"/>
        <v>136883.27000000002</v>
      </c>
      <c r="L55" s="36">
        <f t="shared" si="21"/>
        <v>136883.27000000002</v>
      </c>
      <c r="M55" s="36">
        <f t="shared" si="21"/>
        <v>136883.27000000002</v>
      </c>
      <c r="N55" s="36">
        <f t="shared" si="21"/>
        <v>136883.27000000002</v>
      </c>
      <c r="O55" s="36">
        <f t="shared" si="21"/>
        <v>136883.27000000002</v>
      </c>
      <c r="P55" s="36">
        <f t="shared" si="21"/>
        <v>136883.27000000002</v>
      </c>
      <c r="Q55" s="36">
        <f t="shared" si="21"/>
        <v>136883.27000000002</v>
      </c>
      <c r="R55" s="38"/>
      <c r="S55" s="4">
        <v>48</v>
      </c>
    </row>
    <row r="56" spans="1:19">
      <c r="A56" s="86" t="s">
        <v>84</v>
      </c>
      <c r="B56" s="88">
        <f t="shared" si="16"/>
        <v>4.8844910409127022E-2</v>
      </c>
      <c r="F56" s="88">
        <f t="shared" ref="F56:Q56" si="22">F53/F51</f>
        <v>3.52821825245878E-4</v>
      </c>
      <c r="G56" s="88">
        <f t="shared" si="22"/>
        <v>7.6211690954130131E-3</v>
      </c>
      <c r="H56" s="88">
        <f t="shared" si="22"/>
        <v>2.4106253697715463E-2</v>
      </c>
      <c r="I56" s="88">
        <f t="shared" si="22"/>
        <v>4.8844910409127022E-2</v>
      </c>
      <c r="J56" s="88">
        <f t="shared" si="22"/>
        <v>4.8844910409127022E-2</v>
      </c>
      <c r="K56" s="88">
        <f t="shared" si="22"/>
        <v>4.8844910409127022E-2</v>
      </c>
      <c r="L56" s="88">
        <f t="shared" si="22"/>
        <v>4.8844910409127022E-2</v>
      </c>
      <c r="M56" s="88">
        <f t="shared" si="22"/>
        <v>4.8844910409127022E-2</v>
      </c>
      <c r="N56" s="88">
        <f t="shared" si="22"/>
        <v>4.8844910409127022E-2</v>
      </c>
      <c r="O56" s="88">
        <f t="shared" si="22"/>
        <v>4.8844910409127022E-2</v>
      </c>
      <c r="P56" s="88">
        <f t="shared" si="22"/>
        <v>4.8844910409127022E-2</v>
      </c>
      <c r="Q56" s="88">
        <f t="shared" si="22"/>
        <v>4.8844910409127022E-2</v>
      </c>
      <c r="R56" s="39"/>
      <c r="S56" s="4">
        <v>49</v>
      </c>
    </row>
    <row r="57" spans="1:19">
      <c r="A57" s="86" t="s">
        <v>85</v>
      </c>
      <c r="B57" s="88">
        <f t="shared" si="16"/>
        <v>5.0420101534157789E-2</v>
      </c>
      <c r="E57" s="57"/>
      <c r="F57" s="88">
        <f t="shared" ref="F57:Q57" si="23">F55/F51</f>
        <v>3.52821825245878E-4</v>
      </c>
      <c r="G57" s="88">
        <f t="shared" si="23"/>
        <v>8.9581663598468433E-3</v>
      </c>
      <c r="H57" s="88">
        <f t="shared" si="23"/>
        <v>2.5270305287794795E-2</v>
      </c>
      <c r="I57" s="88">
        <f t="shared" si="23"/>
        <v>5.0420101534157789E-2</v>
      </c>
      <c r="J57" s="88">
        <f t="shared" si="23"/>
        <v>4.8844910409127022E-2</v>
      </c>
      <c r="K57" s="88">
        <f t="shared" si="23"/>
        <v>4.8844910409127022E-2</v>
      </c>
      <c r="L57" s="88">
        <f t="shared" si="23"/>
        <v>4.8844910409127022E-2</v>
      </c>
      <c r="M57" s="88">
        <f t="shared" si="23"/>
        <v>4.8844910409127022E-2</v>
      </c>
      <c r="N57" s="88">
        <f t="shared" si="23"/>
        <v>4.8844910409127022E-2</v>
      </c>
      <c r="O57" s="88">
        <f t="shared" si="23"/>
        <v>4.8844910409127022E-2</v>
      </c>
      <c r="P57" s="88">
        <f t="shared" si="23"/>
        <v>4.8844910409127022E-2</v>
      </c>
      <c r="Q57" s="88">
        <f t="shared" si="23"/>
        <v>4.8844910409127022E-2</v>
      </c>
      <c r="R57" s="39"/>
      <c r="S57" s="4">
        <v>50</v>
      </c>
    </row>
    <row r="58" spans="1:19">
      <c r="A58" s="86" t="s">
        <v>86</v>
      </c>
      <c r="B58" s="88">
        <f t="shared" si="16"/>
        <v>0.14653473122738109</v>
      </c>
      <c r="F58" s="88">
        <f t="shared" ref="F58:Q58" si="24">F53/F52</f>
        <v>4.2338619029505366E-3</v>
      </c>
      <c r="G58" s="88">
        <f t="shared" si="24"/>
        <v>4.5727014572478082E-2</v>
      </c>
      <c r="H58" s="88">
        <f t="shared" si="24"/>
        <v>9.6425014790861852E-2</v>
      </c>
      <c r="I58" s="88">
        <f t="shared" si="24"/>
        <v>0.14653473122738109</v>
      </c>
      <c r="J58" s="88">
        <f t="shared" si="24"/>
        <v>0.11722778498190484</v>
      </c>
      <c r="K58" s="88">
        <f t="shared" si="24"/>
        <v>9.7689820818254045E-2</v>
      </c>
      <c r="L58" s="88">
        <f t="shared" si="24"/>
        <v>8.3734132129932026E-2</v>
      </c>
      <c r="M58" s="88">
        <f t="shared" si="24"/>
        <v>7.3267365613690544E-2</v>
      </c>
      <c r="N58" s="88">
        <f t="shared" si="24"/>
        <v>6.5126547212169358E-2</v>
      </c>
      <c r="O58" s="88">
        <f t="shared" si="24"/>
        <v>5.8613892490952418E-2</v>
      </c>
      <c r="P58" s="88">
        <f t="shared" si="24"/>
        <v>5.3285356809956753E-2</v>
      </c>
      <c r="Q58" s="88">
        <f t="shared" si="24"/>
        <v>4.8844910409127022E-2</v>
      </c>
      <c r="R58" s="39"/>
      <c r="S58" s="4">
        <v>51</v>
      </c>
    </row>
    <row r="59" spans="1:19">
      <c r="A59" s="61" t="s">
        <v>63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39"/>
      <c r="S59" s="4">
        <v>52</v>
      </c>
    </row>
    <row r="60" spans="1:19">
      <c r="A60" s="1" t="s">
        <v>64</v>
      </c>
      <c r="B60" s="33">
        <f>HLOOKUP($B$7,$F$8:$Q$74,S60,FALSE)</f>
        <v>11209624</v>
      </c>
      <c r="F60" s="102">
        <f t="shared" ref="F60:Q60" si="25">SUM($F$4:$I$4)+$F$5</f>
        <v>11209624</v>
      </c>
      <c r="G60" s="102">
        <f t="shared" si="25"/>
        <v>11209624</v>
      </c>
      <c r="H60" s="102">
        <f t="shared" si="25"/>
        <v>11209624</v>
      </c>
      <c r="I60" s="102">
        <f t="shared" si="25"/>
        <v>11209624</v>
      </c>
      <c r="J60" s="102">
        <f t="shared" si="25"/>
        <v>11209624</v>
      </c>
      <c r="K60" s="102">
        <f t="shared" si="25"/>
        <v>11209624</v>
      </c>
      <c r="L60" s="102">
        <f t="shared" si="25"/>
        <v>11209624</v>
      </c>
      <c r="M60" s="102">
        <f t="shared" si="25"/>
        <v>11209624</v>
      </c>
      <c r="N60" s="102">
        <f t="shared" si="25"/>
        <v>11209624</v>
      </c>
      <c r="O60" s="102">
        <f t="shared" si="25"/>
        <v>11209624</v>
      </c>
      <c r="P60" s="102">
        <f t="shared" si="25"/>
        <v>11209624</v>
      </c>
      <c r="Q60" s="102">
        <f t="shared" si="25"/>
        <v>11209624</v>
      </c>
      <c r="R60" s="39"/>
      <c r="S60" s="4">
        <v>53</v>
      </c>
    </row>
    <row r="61" spans="1:19">
      <c r="A61" s="86" t="s">
        <v>70</v>
      </c>
      <c r="B61" s="49">
        <f>HLOOKUP($B$7,$F$8:$Q$74,S61,FALSE)</f>
        <v>136883.27000000002</v>
      </c>
      <c r="F61" s="101">
        <f t="shared" ref="F61:Q61" si="26">F53</f>
        <v>988.75</v>
      </c>
      <c r="G61" s="101">
        <f t="shared" si="26"/>
        <v>21357.61</v>
      </c>
      <c r="H61" s="101">
        <f t="shared" si="26"/>
        <v>67555.509999999995</v>
      </c>
      <c r="I61" s="101">
        <f t="shared" si="26"/>
        <v>136883.27000000002</v>
      </c>
      <c r="J61" s="101">
        <f t="shared" si="26"/>
        <v>136883.27000000002</v>
      </c>
      <c r="K61" s="101">
        <f t="shared" si="26"/>
        <v>136883.27000000002</v>
      </c>
      <c r="L61" s="101">
        <f t="shared" si="26"/>
        <v>136883.27000000002</v>
      </c>
      <c r="M61" s="101">
        <f t="shared" si="26"/>
        <v>136883.27000000002</v>
      </c>
      <c r="N61" s="101">
        <f t="shared" si="26"/>
        <v>136883.27000000002</v>
      </c>
      <c r="O61" s="101">
        <f t="shared" si="26"/>
        <v>136883.27000000002</v>
      </c>
      <c r="P61" s="101">
        <f t="shared" si="26"/>
        <v>136883.27000000002</v>
      </c>
      <c r="Q61" s="101">
        <f t="shared" si="26"/>
        <v>136883.27000000002</v>
      </c>
      <c r="R61" s="39"/>
      <c r="S61" s="4">
        <v>54</v>
      </c>
    </row>
    <row r="62" spans="1:19">
      <c r="A62" s="91" t="s">
        <v>69</v>
      </c>
      <c r="B62" s="48">
        <f>HLOOKUP($B$7,$F$8:$Q$74,S62,FALSE)</f>
        <v>141297.595059933</v>
      </c>
      <c r="F62" s="35">
        <f t="shared" ref="F62:Q62" si="27">F61+F54</f>
        <v>988.75</v>
      </c>
      <c r="G62" s="35">
        <f t="shared" si="27"/>
        <v>25104.419155832951</v>
      </c>
      <c r="H62" s="35">
        <f t="shared" si="27"/>
        <v>70817.655160347858</v>
      </c>
      <c r="I62" s="35">
        <f t="shared" si="27"/>
        <v>141297.595059933</v>
      </c>
      <c r="J62" s="35">
        <f t="shared" si="27"/>
        <v>136883.27000000002</v>
      </c>
      <c r="K62" s="35">
        <f t="shared" si="27"/>
        <v>136883.27000000002</v>
      </c>
      <c r="L62" s="35">
        <f t="shared" si="27"/>
        <v>136883.27000000002</v>
      </c>
      <c r="M62" s="35">
        <f t="shared" si="27"/>
        <v>136883.27000000002</v>
      </c>
      <c r="N62" s="35">
        <f t="shared" si="27"/>
        <v>136883.27000000002</v>
      </c>
      <c r="O62" s="35">
        <f t="shared" si="27"/>
        <v>136883.27000000002</v>
      </c>
      <c r="P62" s="35">
        <f t="shared" si="27"/>
        <v>136883.27000000002</v>
      </c>
      <c r="Q62" s="35">
        <f t="shared" si="27"/>
        <v>136883.27000000002</v>
      </c>
      <c r="R62" s="39"/>
      <c r="S62" s="4">
        <v>55</v>
      </c>
    </row>
    <row r="63" spans="1:19">
      <c r="A63" s="86" t="s">
        <v>65</v>
      </c>
      <c r="B63" s="88">
        <f>HLOOKUP($B$7,$F$8:$Q$74,S63,FALSE)</f>
        <v>1.2211227602281756E-2</v>
      </c>
      <c r="F63" s="88">
        <f t="shared" ref="F63:Q63" si="28">F61/F60</f>
        <v>8.8205456311469499E-5</v>
      </c>
      <c r="G63" s="88">
        <f t="shared" si="28"/>
        <v>1.9052922738532533E-3</v>
      </c>
      <c r="H63" s="88">
        <f t="shared" si="28"/>
        <v>6.0265634244288657E-3</v>
      </c>
      <c r="I63" s="88">
        <f t="shared" si="28"/>
        <v>1.2211227602281756E-2</v>
      </c>
      <c r="J63" s="88">
        <f t="shared" si="28"/>
        <v>1.2211227602281756E-2</v>
      </c>
      <c r="K63" s="88">
        <f t="shared" si="28"/>
        <v>1.2211227602281756E-2</v>
      </c>
      <c r="L63" s="88">
        <f t="shared" si="28"/>
        <v>1.2211227602281756E-2</v>
      </c>
      <c r="M63" s="88">
        <f t="shared" si="28"/>
        <v>1.2211227602281756E-2</v>
      </c>
      <c r="N63" s="88">
        <f t="shared" si="28"/>
        <v>1.2211227602281756E-2</v>
      </c>
      <c r="O63" s="88">
        <f t="shared" si="28"/>
        <v>1.2211227602281756E-2</v>
      </c>
      <c r="P63" s="88">
        <f t="shared" si="28"/>
        <v>1.2211227602281756E-2</v>
      </c>
      <c r="Q63" s="88">
        <f t="shared" si="28"/>
        <v>1.2211227602281756E-2</v>
      </c>
      <c r="R63" s="39"/>
      <c r="S63" s="4">
        <v>56</v>
      </c>
    </row>
    <row r="64" spans="1:19">
      <c r="A64" s="86" t="s">
        <v>66</v>
      </c>
      <c r="B64" s="88">
        <f>HLOOKUP($B$7,$F$8:$Q$74,S64,FALSE)</f>
        <v>1.2605025383539447E-2</v>
      </c>
      <c r="F64" s="88">
        <f t="shared" ref="F64:Q64" si="29">F62/F60</f>
        <v>8.8205456311469499E-5</v>
      </c>
      <c r="G64" s="88">
        <f t="shared" si="29"/>
        <v>2.2395415899617108E-3</v>
      </c>
      <c r="H64" s="88">
        <f t="shared" si="29"/>
        <v>6.3175763219486987E-3</v>
      </c>
      <c r="I64" s="88">
        <f t="shared" si="29"/>
        <v>1.2605025383539447E-2</v>
      </c>
      <c r="J64" s="88">
        <f t="shared" si="29"/>
        <v>1.2211227602281756E-2</v>
      </c>
      <c r="K64" s="88">
        <f t="shared" si="29"/>
        <v>1.2211227602281756E-2</v>
      </c>
      <c r="L64" s="88">
        <f t="shared" si="29"/>
        <v>1.2211227602281756E-2</v>
      </c>
      <c r="M64" s="88">
        <f t="shared" si="29"/>
        <v>1.2211227602281756E-2</v>
      </c>
      <c r="N64" s="88">
        <f t="shared" si="29"/>
        <v>1.2211227602281756E-2</v>
      </c>
      <c r="O64" s="88">
        <f t="shared" si="29"/>
        <v>1.2211227602281756E-2</v>
      </c>
      <c r="P64" s="88">
        <f t="shared" si="29"/>
        <v>1.2211227602281756E-2</v>
      </c>
      <c r="Q64" s="88">
        <f t="shared" si="29"/>
        <v>1.2211227602281756E-2</v>
      </c>
      <c r="R64" s="39"/>
      <c r="S64" s="4">
        <v>57</v>
      </c>
    </row>
    <row r="65" spans="1:20">
      <c r="A65" s="61" t="s">
        <v>17</v>
      </c>
      <c r="B65" s="59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34"/>
      <c r="S65" s="4">
        <v>58</v>
      </c>
    </row>
    <row r="66" spans="1:20">
      <c r="A66" s="18" t="s">
        <v>18</v>
      </c>
      <c r="B66" s="40">
        <f>HLOOKUP($B$7,$F$8:$Q$74,S66,FALSE)</f>
        <v>0</v>
      </c>
      <c r="E66" s="20" t="s">
        <v>36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34"/>
      <c r="S66" s="4">
        <v>59</v>
      </c>
    </row>
    <row r="67" spans="1:20">
      <c r="A67" s="18" t="s">
        <v>19</v>
      </c>
      <c r="B67" s="40">
        <f>HLOOKUP($B$7,$F$8:$Q$74,S67,FALSE)</f>
        <v>0</v>
      </c>
      <c r="E67" s="20" t="s">
        <v>36</v>
      </c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34"/>
      <c r="S67" s="4">
        <v>60</v>
      </c>
    </row>
    <row r="68" spans="1:20">
      <c r="A68" s="18" t="s">
        <v>20</v>
      </c>
      <c r="B68" s="40">
        <f>HLOOKUP($B$7,$F$8:$Q$74,S68,FALSE)</f>
        <v>0</v>
      </c>
      <c r="E68" s="20" t="s">
        <v>36</v>
      </c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34"/>
      <c r="S68" s="4">
        <v>61</v>
      </c>
    </row>
    <row r="69" spans="1:20">
      <c r="A69" s="18" t="s">
        <v>21</v>
      </c>
      <c r="B69" s="40">
        <f>HLOOKUP($B$7,$F$8:$Q$74,S69,FALSE)</f>
        <v>0</v>
      </c>
      <c r="E69" s="20" t="s">
        <v>37</v>
      </c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34"/>
      <c r="S69" s="4">
        <v>62</v>
      </c>
    </row>
    <row r="70" spans="1:20">
      <c r="A70" s="61" t="s">
        <v>8</v>
      </c>
      <c r="B70" s="59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34"/>
      <c r="S70" s="4">
        <v>63</v>
      </c>
    </row>
    <row r="71" spans="1:20">
      <c r="A71" s="18" t="s">
        <v>1</v>
      </c>
      <c r="B71" s="19">
        <f>HLOOKUP($B$7,$F$8:$Q$74,S71,FALSE)</f>
        <v>193</v>
      </c>
      <c r="E71" s="20" t="s">
        <v>30</v>
      </c>
      <c r="F71" s="7">
        <v>14</v>
      </c>
      <c r="G71" s="7">
        <v>61</v>
      </c>
      <c r="H71" s="7">
        <v>136</v>
      </c>
      <c r="I71" s="7">
        <v>193</v>
      </c>
      <c r="J71" s="7"/>
      <c r="K71" s="7"/>
      <c r="L71" s="7"/>
      <c r="M71" s="7"/>
      <c r="N71" s="7"/>
      <c r="O71" s="7"/>
      <c r="P71" s="7"/>
      <c r="Q71" s="7"/>
      <c r="R71" s="28"/>
      <c r="S71" s="4">
        <v>64</v>
      </c>
    </row>
    <row r="72" spans="1:20">
      <c r="A72" s="18" t="s">
        <v>38</v>
      </c>
      <c r="B72" s="19">
        <f>HLOOKUP($B$7,$F$8:$Q$74,S72,FALSE)</f>
        <v>105</v>
      </c>
      <c r="E72" s="20" t="s">
        <v>30</v>
      </c>
      <c r="F72" s="7">
        <v>0</v>
      </c>
      <c r="G72" s="7">
        <v>33</v>
      </c>
      <c r="H72" s="7">
        <v>59</v>
      </c>
      <c r="I72" s="7">
        <v>105</v>
      </c>
      <c r="J72" s="7"/>
      <c r="K72" s="7"/>
      <c r="L72" s="7"/>
      <c r="M72" s="7"/>
      <c r="N72" s="7"/>
      <c r="O72" s="7"/>
      <c r="P72" s="7"/>
      <c r="Q72" s="7"/>
      <c r="R72" s="28"/>
      <c r="S72" s="4">
        <v>65</v>
      </c>
    </row>
    <row r="73" spans="1:20" s="4" customFormat="1">
      <c r="A73" s="61" t="s">
        <v>32</v>
      </c>
      <c r="B73" s="59"/>
      <c r="C73" s="41"/>
      <c r="E73" s="41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34"/>
      <c r="S73" s="4">
        <v>66</v>
      </c>
    </row>
    <row r="74" spans="1:20" s="4" customFormat="1">
      <c r="A74" s="18" t="s">
        <v>46</v>
      </c>
      <c r="B74" s="19">
        <f>HLOOKUP($B$7,$F$8:$Q$74,S74,FALSE)</f>
        <v>34158</v>
      </c>
      <c r="C74" s="52"/>
      <c r="D74" s="53"/>
      <c r="E74" s="54" t="s">
        <v>34</v>
      </c>
      <c r="F74" s="42">
        <f>F3</f>
        <v>34158</v>
      </c>
      <c r="G74" s="42">
        <f>F74</f>
        <v>34158</v>
      </c>
      <c r="H74" s="43">
        <f>G74</f>
        <v>34158</v>
      </c>
      <c r="I74" s="42">
        <f>H74</f>
        <v>34158</v>
      </c>
      <c r="J74" s="42"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8"/>
      <c r="S74" s="4">
        <v>67</v>
      </c>
    </row>
    <row r="75" spans="1:20" s="164" customFormat="1">
      <c r="A75" s="18" t="s">
        <v>146</v>
      </c>
      <c r="B75" s="19">
        <f>HLOOKUP($B$7,$F$8:$Q$75,S75,FALSE)</f>
        <v>0</v>
      </c>
      <c r="C75" s="41"/>
      <c r="D75" s="4"/>
      <c r="E75" s="20" t="s">
        <v>34</v>
      </c>
      <c r="F75" s="42">
        <v>0</v>
      </c>
      <c r="G75" s="42">
        <v>0</v>
      </c>
      <c r="H75" s="43">
        <f t="shared" ref="H75:J75" si="30">G75</f>
        <v>0</v>
      </c>
      <c r="I75" s="42">
        <f t="shared" si="30"/>
        <v>0</v>
      </c>
      <c r="J75" s="42">
        <f t="shared" si="30"/>
        <v>0</v>
      </c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5"/>
      <c r="S75" s="4">
        <v>68</v>
      </c>
      <c r="T75" s="4"/>
    </row>
    <row r="76" spans="1:20" s="4" customFormat="1" ht="15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</row>
    <row r="77" spans="1:20" s="4" customFormat="1">
      <c r="A77" s="72" t="s">
        <v>43</v>
      </c>
      <c r="B77" s="69"/>
      <c r="C77" s="41"/>
    </row>
    <row r="78" spans="1:20" s="4" customFormat="1">
      <c r="A78" s="61" t="s">
        <v>31</v>
      </c>
      <c r="B78" s="12"/>
      <c r="C78" s="41"/>
    </row>
    <row r="79" spans="1:20" s="4" customFormat="1">
      <c r="A79" s="112">
        <f>VLOOKUP(B7,E88:T99,2,FALSE)</f>
        <v>0</v>
      </c>
      <c r="B79" s="71"/>
      <c r="C79" s="41"/>
    </row>
    <row r="80" spans="1:20" s="4" customFormat="1">
      <c r="A80" s="61" t="s">
        <v>40</v>
      </c>
      <c r="B80" s="12"/>
      <c r="C80" s="41"/>
    </row>
    <row r="81" spans="1:20" s="4" customFormat="1">
      <c r="A81" s="84">
        <f>VLOOKUP(B7,E88:T99,6,FALSE)</f>
        <v>0</v>
      </c>
      <c r="B81" s="71"/>
      <c r="C81" s="41"/>
    </row>
    <row r="82" spans="1:20" s="4" customFormat="1">
      <c r="A82" s="61" t="s">
        <v>44</v>
      </c>
      <c r="B82" s="12"/>
      <c r="C82" s="41"/>
    </row>
    <row r="83" spans="1:20" s="4" customFormat="1">
      <c r="A83" s="84">
        <f>VLOOKUP(B7,E88:T99,10,FALSE)</f>
        <v>0</v>
      </c>
      <c r="B83" s="78"/>
      <c r="C83" s="41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172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1:20"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</row>
    <row r="87" spans="1:20"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 t="s">
        <v>133</v>
      </c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5"/>
      <c r="S88" s="175"/>
      <c r="T88" s="175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5"/>
      <c r="S89" s="175"/>
      <c r="T89" s="175"/>
    </row>
    <row r="90" spans="1:20" ht="26.25" customHeight="1">
      <c r="D90" s="41"/>
      <c r="E90" s="14">
        <v>40969</v>
      </c>
      <c r="F90" s="179" t="s">
        <v>135</v>
      </c>
      <c r="G90" s="180"/>
      <c r="H90" s="180"/>
      <c r="I90" s="181"/>
      <c r="J90" s="174"/>
      <c r="K90" s="174"/>
      <c r="L90" s="174"/>
      <c r="M90" s="174"/>
      <c r="N90" s="174"/>
      <c r="O90" s="174"/>
      <c r="P90" s="174"/>
      <c r="Q90" s="174"/>
      <c r="R90" s="175" t="s">
        <v>143</v>
      </c>
      <c r="S90" s="175"/>
      <c r="T90" s="175"/>
    </row>
    <row r="91" spans="1:20">
      <c r="D91" s="41"/>
      <c r="E91" s="14">
        <v>41000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5"/>
      <c r="S91" s="175"/>
      <c r="T91" s="175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5"/>
      <c r="S92" s="175"/>
      <c r="T92" s="175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5"/>
      <c r="S93" s="175"/>
      <c r="T93" s="175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5"/>
      <c r="S94" s="175"/>
      <c r="T94" s="175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5"/>
      <c r="S95" s="175"/>
      <c r="T95" s="175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5"/>
      <c r="S96" s="175"/>
      <c r="T96" s="175"/>
    </row>
    <row r="97" spans="4:20" s="3" customFormat="1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5"/>
      <c r="S97" s="175"/>
      <c r="T97" s="175"/>
    </row>
    <row r="98" spans="4:20" s="3" customFormat="1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5"/>
      <c r="S98" s="175"/>
      <c r="T98" s="175"/>
    </row>
    <row r="99" spans="4:20" s="3" customFormat="1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5"/>
      <c r="S99" s="175"/>
      <c r="T99" s="175"/>
    </row>
    <row r="100" spans="4:20" s="3" customFormat="1">
      <c r="D100" s="4"/>
      <c r="E100" s="4"/>
    </row>
  </sheetData>
  <mergeCells count="54">
    <mergeCell ref="J90:M90"/>
    <mergeCell ref="N90:Q90"/>
    <mergeCell ref="F91:I91"/>
    <mergeCell ref="J91:M91"/>
    <mergeCell ref="N91:Q91"/>
    <mergeCell ref="F90:I90"/>
    <mergeCell ref="J92:M92"/>
    <mergeCell ref="N92:Q92"/>
    <mergeCell ref="F93:I93"/>
    <mergeCell ref="J93:M93"/>
    <mergeCell ref="N93:Q93"/>
    <mergeCell ref="F92:I92"/>
    <mergeCell ref="J96:M96"/>
    <mergeCell ref="N96:Q96"/>
    <mergeCell ref="F97:I97"/>
    <mergeCell ref="J97:M97"/>
    <mergeCell ref="N97:Q97"/>
    <mergeCell ref="F96:I96"/>
    <mergeCell ref="J94:M94"/>
    <mergeCell ref="N94:Q94"/>
    <mergeCell ref="F95:I95"/>
    <mergeCell ref="J95:M95"/>
    <mergeCell ref="N95:Q95"/>
    <mergeCell ref="F94:I94"/>
    <mergeCell ref="F98:I98"/>
    <mergeCell ref="J98:M98"/>
    <mergeCell ref="N98:Q98"/>
    <mergeCell ref="F99:I99"/>
    <mergeCell ref="J99:M99"/>
    <mergeCell ref="N99:Q99"/>
    <mergeCell ref="R90:T90"/>
    <mergeCell ref="R91:T91"/>
    <mergeCell ref="D1:G1"/>
    <mergeCell ref="J87:M87"/>
    <mergeCell ref="N87:Q87"/>
    <mergeCell ref="J88:M88"/>
    <mergeCell ref="N88:Q88"/>
    <mergeCell ref="F88:I88"/>
    <mergeCell ref="D85:H85"/>
    <mergeCell ref="F87:I87"/>
    <mergeCell ref="F89:I89"/>
    <mergeCell ref="R87:T87"/>
    <mergeCell ref="R88:T88"/>
    <mergeCell ref="R89:T89"/>
    <mergeCell ref="J89:M89"/>
    <mergeCell ref="N89:Q89"/>
    <mergeCell ref="R97:T97"/>
    <mergeCell ref="R98:T98"/>
    <mergeCell ref="R99:T99"/>
    <mergeCell ref="R92:T92"/>
    <mergeCell ref="R93:T93"/>
    <mergeCell ref="R94:T94"/>
    <mergeCell ref="R95:T95"/>
    <mergeCell ref="R96:T96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9"/>
  <sheetViews>
    <sheetView topLeftCell="A41" zoomScaleNormal="100" workbookViewId="0">
      <pane xSplit="1" topLeftCell="B1" activePane="topRight" state="frozen"/>
      <selection activeCell="A89" sqref="A89"/>
      <selection pane="topRight" activeCell="I72" sqref="I72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17" width="15.7109375" style="3" customWidth="1"/>
    <col min="18" max="18" width="15.7109375" style="63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08" t="s">
        <v>127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110</v>
      </c>
      <c r="C3" s="6"/>
      <c r="E3" s="111" t="s">
        <v>114</v>
      </c>
      <c r="F3" s="109">
        <v>5517</v>
      </c>
      <c r="G3" s="109">
        <v>5517</v>
      </c>
      <c r="H3" s="109">
        <v>5517</v>
      </c>
      <c r="I3" s="109">
        <v>5517</v>
      </c>
    </row>
    <row r="4" spans="1:19">
      <c r="A4" s="1" t="s">
        <v>9</v>
      </c>
      <c r="B4" s="113">
        <v>40841</v>
      </c>
      <c r="C4" s="8"/>
      <c r="E4" s="111" t="s">
        <v>74</v>
      </c>
      <c r="F4" s="110">
        <v>3012857</v>
      </c>
      <c r="G4" s="110">
        <v>3012857</v>
      </c>
      <c r="H4" s="110">
        <v>3012857</v>
      </c>
      <c r="I4" s="110">
        <v>3012857</v>
      </c>
      <c r="J4" s="10"/>
      <c r="K4" s="10"/>
      <c r="L4" s="10"/>
      <c r="M4" s="10"/>
      <c r="N4" s="10"/>
      <c r="O4" s="10"/>
      <c r="P4" s="10"/>
      <c r="Q4" s="10"/>
      <c r="R4" s="116"/>
    </row>
    <row r="5" spans="1:19">
      <c r="A5" s="46" t="s">
        <v>10</v>
      </c>
      <c r="B5" s="114">
        <v>40242</v>
      </c>
      <c r="C5" s="8"/>
      <c r="E5" s="111" t="s">
        <v>93</v>
      </c>
      <c r="F5" s="1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6"/>
    </row>
    <row r="6" spans="1:19">
      <c r="A6" s="1" t="s">
        <v>99</v>
      </c>
      <c r="B6" s="113">
        <v>40909</v>
      </c>
      <c r="C6" s="8"/>
      <c r="E6" s="5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6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6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4">
        <v>3</v>
      </c>
    </row>
    <row r="11" spans="1:19">
      <c r="A11" s="18" t="s">
        <v>22</v>
      </c>
      <c r="B11" s="19">
        <f>HLOOKUP($B$7,$F$8:$Q$74,S11,FALSE)</f>
        <v>114.00183199999748</v>
      </c>
      <c r="E11" s="20" t="s">
        <v>28</v>
      </c>
      <c r="F11" s="7">
        <f>84220.4340000001/1000</f>
        <v>84.220434000000097</v>
      </c>
      <c r="G11" s="7">
        <v>54.050570999999877</v>
      </c>
      <c r="H11" s="7">
        <v>135.33280900000034</v>
      </c>
      <c r="I11" s="7">
        <v>114.00183199999748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387.60564599999776</v>
      </c>
      <c r="S11" s="4">
        <v>4</v>
      </c>
    </row>
    <row r="12" spans="1:19">
      <c r="A12" s="18" t="s">
        <v>109</v>
      </c>
      <c r="B12" s="75">
        <f>HLOOKUP($B$7,$F$8:$Q$74,S12,FALSE)</f>
        <v>1.2168000000000043E-2</v>
      </c>
      <c r="E12" s="20" t="s">
        <v>28</v>
      </c>
      <c r="F12" s="81">
        <v>9.7109999999998933E-3</v>
      </c>
      <c r="G12" s="81">
        <v>7.0000000000000001E-3</v>
      </c>
      <c r="H12" s="81">
        <v>1.4742000000000501E-2</v>
      </c>
      <c r="I12" s="81">
        <v>1.2168000000000043E-2</v>
      </c>
      <c r="J12" s="81"/>
      <c r="K12" s="81"/>
      <c r="L12" s="81"/>
      <c r="M12" s="81"/>
      <c r="N12" s="81"/>
      <c r="O12" s="81"/>
      <c r="P12" s="81"/>
      <c r="Q12" s="81"/>
      <c r="R12" s="80">
        <f>SUM(F12:Q12)</f>
        <v>4.3621000000000437E-2</v>
      </c>
      <c r="S12" s="4">
        <v>5</v>
      </c>
    </row>
    <row r="13" spans="1:19">
      <c r="A13" s="18" t="s">
        <v>23</v>
      </c>
      <c r="B13" s="19">
        <f>HLOOKUP($B$7,$F$8:$Q$74,S13,FALSE)</f>
        <v>0</v>
      </c>
      <c r="E13" s="20" t="s">
        <v>28</v>
      </c>
      <c r="F13" s="7">
        <v>0</v>
      </c>
      <c r="G13" s="7">
        <v>0</v>
      </c>
      <c r="H13" s="7">
        <v>0</v>
      </c>
      <c r="I13" s="7">
        <v>0</v>
      </c>
      <c r="J13" s="7"/>
      <c r="K13" s="7"/>
      <c r="L13" s="7"/>
      <c r="M13" s="7"/>
      <c r="N13" s="7"/>
      <c r="O13" s="7"/>
      <c r="P13" s="7"/>
      <c r="Q13" s="7"/>
      <c r="R13" s="24">
        <f>SUM(F13:Q13)</f>
        <v>0</v>
      </c>
      <c r="S13" s="4">
        <v>6</v>
      </c>
    </row>
    <row r="14" spans="1:19">
      <c r="A14" s="61" t="s">
        <v>88</v>
      </c>
      <c r="B14" s="59"/>
      <c r="E14" s="5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  <c r="S14" s="4">
        <v>7</v>
      </c>
    </row>
    <row r="15" spans="1:19">
      <c r="A15" s="1" t="s">
        <v>87</v>
      </c>
      <c r="B15" s="23">
        <f t="shared" ref="B15:B22" si="0">HLOOKUP($B$7,$F$8:$Q$74,S15,FALSE)</f>
        <v>5517</v>
      </c>
      <c r="E15" s="5"/>
      <c r="F15" s="24">
        <f t="shared" ref="F15:Q15" si="1">$F$3</f>
        <v>5517</v>
      </c>
      <c r="G15" s="24">
        <f t="shared" si="1"/>
        <v>5517</v>
      </c>
      <c r="H15" s="24">
        <f t="shared" si="1"/>
        <v>5517</v>
      </c>
      <c r="I15" s="24">
        <f t="shared" si="1"/>
        <v>5517</v>
      </c>
      <c r="J15" s="24">
        <f t="shared" si="1"/>
        <v>5517</v>
      </c>
      <c r="K15" s="24">
        <f t="shared" si="1"/>
        <v>5517</v>
      </c>
      <c r="L15" s="24">
        <f t="shared" si="1"/>
        <v>5517</v>
      </c>
      <c r="M15" s="24">
        <f t="shared" si="1"/>
        <v>5517</v>
      </c>
      <c r="N15" s="24">
        <f t="shared" si="1"/>
        <v>5517</v>
      </c>
      <c r="O15" s="24">
        <f t="shared" si="1"/>
        <v>5517</v>
      </c>
      <c r="P15" s="24">
        <f t="shared" si="1"/>
        <v>5517</v>
      </c>
      <c r="Q15" s="24">
        <f t="shared" si="1"/>
        <v>5517</v>
      </c>
      <c r="R15" s="25"/>
      <c r="S15" s="4">
        <v>8</v>
      </c>
    </row>
    <row r="16" spans="1:19">
      <c r="A16" s="1" t="s">
        <v>89</v>
      </c>
      <c r="B16" s="23">
        <f t="shared" si="0"/>
        <v>1839</v>
      </c>
      <c r="E16" s="5"/>
      <c r="F16" s="24">
        <f t="shared" ref="F16:Q16" si="2">F15*(F9/12)</f>
        <v>459.75</v>
      </c>
      <c r="G16" s="24">
        <f t="shared" si="2"/>
        <v>919.5</v>
      </c>
      <c r="H16" s="24">
        <f t="shared" si="2"/>
        <v>1379.25</v>
      </c>
      <c r="I16" s="24">
        <f t="shared" si="2"/>
        <v>1839</v>
      </c>
      <c r="J16" s="24">
        <f t="shared" si="2"/>
        <v>2298.75</v>
      </c>
      <c r="K16" s="24">
        <f t="shared" si="2"/>
        <v>2758.5</v>
      </c>
      <c r="L16" s="24">
        <f t="shared" si="2"/>
        <v>3218.25</v>
      </c>
      <c r="M16" s="24">
        <f t="shared" si="2"/>
        <v>3678</v>
      </c>
      <c r="N16" s="24">
        <f t="shared" si="2"/>
        <v>4137.75</v>
      </c>
      <c r="O16" s="24">
        <f t="shared" si="2"/>
        <v>4597.5</v>
      </c>
      <c r="P16" s="24">
        <f t="shared" si="2"/>
        <v>5057.25</v>
      </c>
      <c r="Q16" s="24">
        <f t="shared" si="2"/>
        <v>5517</v>
      </c>
      <c r="R16" s="25"/>
      <c r="S16" s="4">
        <v>9</v>
      </c>
    </row>
    <row r="17" spans="1:19">
      <c r="A17" s="86" t="s">
        <v>82</v>
      </c>
      <c r="B17" s="19">
        <f t="shared" si="0"/>
        <v>387.60564599999776</v>
      </c>
      <c r="E17" s="5"/>
      <c r="F17" s="21">
        <f>F11</f>
        <v>84.220434000000097</v>
      </c>
      <c r="G17" s="21">
        <f t="shared" ref="G17:Q17" si="3">F17+G11</f>
        <v>138.27100499999997</v>
      </c>
      <c r="H17" s="21">
        <f t="shared" si="3"/>
        <v>273.60381400000028</v>
      </c>
      <c r="I17" s="21">
        <f t="shared" si="3"/>
        <v>387.60564599999776</v>
      </c>
      <c r="J17" s="21">
        <f t="shared" si="3"/>
        <v>387.60564599999776</v>
      </c>
      <c r="K17" s="21">
        <f t="shared" si="3"/>
        <v>387.60564599999776</v>
      </c>
      <c r="L17" s="21">
        <f t="shared" si="3"/>
        <v>387.60564599999776</v>
      </c>
      <c r="M17" s="21">
        <f t="shared" si="3"/>
        <v>387.60564599999776</v>
      </c>
      <c r="N17" s="21">
        <f t="shared" si="3"/>
        <v>387.60564599999776</v>
      </c>
      <c r="O17" s="21">
        <f t="shared" si="3"/>
        <v>387.60564599999776</v>
      </c>
      <c r="P17" s="21">
        <f t="shared" si="3"/>
        <v>387.60564599999776</v>
      </c>
      <c r="Q17" s="21">
        <f t="shared" si="3"/>
        <v>387.60564599999776</v>
      </c>
      <c r="R17" s="65"/>
      <c r="S17" s="4">
        <v>10</v>
      </c>
    </row>
    <row r="18" spans="1:19">
      <c r="A18" s="86" t="s">
        <v>14</v>
      </c>
      <c r="B18" s="19">
        <f t="shared" si="0"/>
        <v>0</v>
      </c>
      <c r="E18" s="20" t="s">
        <v>30</v>
      </c>
      <c r="F18" s="7">
        <v>0</v>
      </c>
      <c r="G18" s="7">
        <v>0</v>
      </c>
      <c r="H18" s="7">
        <v>0</v>
      </c>
      <c r="I18" s="7">
        <v>0</v>
      </c>
      <c r="J18" s="7"/>
      <c r="K18" s="7"/>
      <c r="L18" s="7"/>
      <c r="M18" s="7"/>
      <c r="N18" s="7"/>
      <c r="O18" s="7"/>
      <c r="P18" s="7"/>
      <c r="Q18" s="7"/>
      <c r="R18" s="65"/>
      <c r="S18" s="4">
        <v>11</v>
      </c>
    </row>
    <row r="19" spans="1:19">
      <c r="A19" s="87" t="s">
        <v>47</v>
      </c>
      <c r="B19" s="51">
        <f t="shared" si="0"/>
        <v>387.60564599999776</v>
      </c>
      <c r="C19" s="92"/>
      <c r="D19" s="92"/>
      <c r="E19" s="92"/>
      <c r="F19" s="26">
        <f t="shared" ref="F19:Q19" si="4">F17+F18</f>
        <v>84.220434000000097</v>
      </c>
      <c r="G19" s="26">
        <f t="shared" si="4"/>
        <v>138.27100499999997</v>
      </c>
      <c r="H19" s="26">
        <f t="shared" si="4"/>
        <v>273.60381400000028</v>
      </c>
      <c r="I19" s="26">
        <f t="shared" si="4"/>
        <v>387.60564599999776</v>
      </c>
      <c r="J19" s="26">
        <f t="shared" si="4"/>
        <v>387.60564599999776</v>
      </c>
      <c r="K19" s="26">
        <f t="shared" si="4"/>
        <v>387.60564599999776</v>
      </c>
      <c r="L19" s="26">
        <f t="shared" si="4"/>
        <v>387.60564599999776</v>
      </c>
      <c r="M19" s="26">
        <f t="shared" si="4"/>
        <v>387.60564599999776</v>
      </c>
      <c r="N19" s="26">
        <f t="shared" si="4"/>
        <v>387.60564599999776</v>
      </c>
      <c r="O19" s="26">
        <f t="shared" si="4"/>
        <v>387.60564599999776</v>
      </c>
      <c r="P19" s="26">
        <f t="shared" si="4"/>
        <v>387.60564599999776</v>
      </c>
      <c r="Q19" s="26">
        <f t="shared" si="4"/>
        <v>387.60564599999776</v>
      </c>
      <c r="R19" s="25"/>
      <c r="S19" s="4">
        <v>12</v>
      </c>
    </row>
    <row r="20" spans="1:19">
      <c r="A20" s="86" t="s">
        <v>24</v>
      </c>
      <c r="B20" s="88">
        <f t="shared" si="0"/>
        <v>7.0256597063621126E-2</v>
      </c>
      <c r="F20" s="88">
        <f t="shared" ref="F20:Q20" si="5">F17/F15</f>
        <v>1.5265621533442105E-2</v>
      </c>
      <c r="G20" s="88">
        <f t="shared" si="5"/>
        <v>2.5062716150081561E-2</v>
      </c>
      <c r="H20" s="88">
        <f t="shared" si="5"/>
        <v>4.9592860975167713E-2</v>
      </c>
      <c r="I20" s="88">
        <f t="shared" si="5"/>
        <v>7.0256597063621126E-2</v>
      </c>
      <c r="J20" s="88">
        <f t="shared" si="5"/>
        <v>7.0256597063621126E-2</v>
      </c>
      <c r="K20" s="88">
        <f t="shared" si="5"/>
        <v>7.0256597063621126E-2</v>
      </c>
      <c r="L20" s="88">
        <f t="shared" si="5"/>
        <v>7.0256597063621126E-2</v>
      </c>
      <c r="M20" s="88">
        <f t="shared" si="5"/>
        <v>7.0256597063621126E-2</v>
      </c>
      <c r="N20" s="88">
        <f t="shared" si="5"/>
        <v>7.0256597063621126E-2</v>
      </c>
      <c r="O20" s="88">
        <f t="shared" si="5"/>
        <v>7.0256597063621126E-2</v>
      </c>
      <c r="P20" s="88">
        <f t="shared" si="5"/>
        <v>7.0256597063621126E-2</v>
      </c>
      <c r="Q20" s="88">
        <f t="shared" si="5"/>
        <v>7.0256597063621126E-2</v>
      </c>
      <c r="R20" s="97"/>
      <c r="S20" s="4">
        <v>13</v>
      </c>
    </row>
    <row r="21" spans="1:19">
      <c r="A21" s="86" t="s">
        <v>48</v>
      </c>
      <c r="B21" s="88">
        <f t="shared" si="0"/>
        <v>7.0256597063621126E-2</v>
      </c>
      <c r="F21" s="88">
        <f t="shared" ref="F21:Q21" si="6">F19/F15</f>
        <v>1.5265621533442105E-2</v>
      </c>
      <c r="G21" s="88">
        <f t="shared" si="6"/>
        <v>2.5062716150081561E-2</v>
      </c>
      <c r="H21" s="88">
        <f t="shared" si="6"/>
        <v>4.9592860975167713E-2</v>
      </c>
      <c r="I21" s="88">
        <f t="shared" si="6"/>
        <v>7.0256597063621126E-2</v>
      </c>
      <c r="J21" s="88">
        <f t="shared" si="6"/>
        <v>7.0256597063621126E-2</v>
      </c>
      <c r="K21" s="88">
        <f t="shared" si="6"/>
        <v>7.0256597063621126E-2</v>
      </c>
      <c r="L21" s="88">
        <f t="shared" si="6"/>
        <v>7.0256597063621126E-2</v>
      </c>
      <c r="M21" s="88">
        <f t="shared" si="6"/>
        <v>7.0256597063621126E-2</v>
      </c>
      <c r="N21" s="88">
        <f t="shared" si="6"/>
        <v>7.0256597063621126E-2</v>
      </c>
      <c r="O21" s="88">
        <f t="shared" si="6"/>
        <v>7.0256597063621126E-2</v>
      </c>
      <c r="P21" s="88">
        <f t="shared" si="6"/>
        <v>7.0256597063621126E-2</v>
      </c>
      <c r="Q21" s="88">
        <f t="shared" si="6"/>
        <v>7.0256597063621126E-2</v>
      </c>
      <c r="R21" s="97"/>
      <c r="S21" s="4">
        <v>14</v>
      </c>
    </row>
    <row r="22" spans="1:19">
      <c r="A22" s="86" t="s">
        <v>25</v>
      </c>
      <c r="B22" s="88">
        <f t="shared" si="0"/>
        <v>0.21076979119086339</v>
      </c>
      <c r="F22" s="88">
        <f t="shared" ref="F22:Q22" si="7">F17/F16</f>
        <v>0.18318745840130526</v>
      </c>
      <c r="G22" s="88">
        <f t="shared" si="7"/>
        <v>0.15037629690048937</v>
      </c>
      <c r="H22" s="88">
        <f t="shared" si="7"/>
        <v>0.19837144390067085</v>
      </c>
      <c r="I22" s="88">
        <f t="shared" si="7"/>
        <v>0.21076979119086339</v>
      </c>
      <c r="J22" s="88">
        <f t="shared" si="7"/>
        <v>0.1686158329526907</v>
      </c>
      <c r="K22" s="88">
        <f t="shared" si="7"/>
        <v>0.14051319412724225</v>
      </c>
      <c r="L22" s="88">
        <f t="shared" si="7"/>
        <v>0.12043988068049336</v>
      </c>
      <c r="M22" s="88">
        <f t="shared" si="7"/>
        <v>0.1053848955954317</v>
      </c>
      <c r="N22" s="88">
        <f t="shared" si="7"/>
        <v>9.367546275149484E-2</v>
      </c>
      <c r="O22" s="88">
        <f t="shared" si="7"/>
        <v>8.4307916476345349E-2</v>
      </c>
      <c r="P22" s="88">
        <f t="shared" si="7"/>
        <v>7.6643560433041227E-2</v>
      </c>
      <c r="Q22" s="88">
        <f t="shared" si="7"/>
        <v>7.0256597063621126E-2</v>
      </c>
      <c r="R22" s="97"/>
      <c r="S22" s="4">
        <v>15</v>
      </c>
    </row>
    <row r="23" spans="1:19">
      <c r="A23" s="61" t="s">
        <v>90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5"/>
      <c r="S23" s="4">
        <v>16</v>
      </c>
    </row>
    <row r="24" spans="1:19">
      <c r="A24" s="86" t="s">
        <v>83</v>
      </c>
      <c r="B24" s="75">
        <f>HLOOKUP($B$7,$F$8:$Q$74,S24,FALSE)</f>
        <v>4.3621000000000437E-2</v>
      </c>
      <c r="E24" s="76"/>
      <c r="F24" s="75">
        <f>F12</f>
        <v>9.7109999999998933E-3</v>
      </c>
      <c r="G24" s="75">
        <f t="shared" ref="G24:Q24" si="8">F24+G12</f>
        <v>1.6710999999999893E-2</v>
      </c>
      <c r="H24" s="75">
        <f t="shared" si="8"/>
        <v>3.1453000000000397E-2</v>
      </c>
      <c r="I24" s="75">
        <f t="shared" si="8"/>
        <v>4.3621000000000437E-2</v>
      </c>
      <c r="J24" s="75">
        <f t="shared" si="8"/>
        <v>4.3621000000000437E-2</v>
      </c>
      <c r="K24" s="75">
        <f t="shared" si="8"/>
        <v>4.3621000000000437E-2</v>
      </c>
      <c r="L24" s="75">
        <f t="shared" si="8"/>
        <v>4.3621000000000437E-2</v>
      </c>
      <c r="M24" s="75">
        <f t="shared" si="8"/>
        <v>4.3621000000000437E-2</v>
      </c>
      <c r="N24" s="75">
        <f t="shared" si="8"/>
        <v>4.3621000000000437E-2</v>
      </c>
      <c r="O24" s="75">
        <f t="shared" si="8"/>
        <v>4.3621000000000437E-2</v>
      </c>
      <c r="P24" s="75">
        <f t="shared" si="8"/>
        <v>4.3621000000000437E-2</v>
      </c>
      <c r="Q24" s="75">
        <f t="shared" si="8"/>
        <v>4.3621000000000437E-2</v>
      </c>
      <c r="R24" s="25"/>
      <c r="S24" s="4">
        <v>17</v>
      </c>
    </row>
    <row r="25" spans="1:19">
      <c r="A25" s="86" t="s">
        <v>15</v>
      </c>
      <c r="B25" s="75">
        <f>HLOOKUP($B$7,$F$8:$Q$74,S25,FALSE)</f>
        <v>0</v>
      </c>
      <c r="E25" s="20" t="s">
        <v>30</v>
      </c>
      <c r="F25" s="81">
        <v>0</v>
      </c>
      <c r="G25" s="81">
        <v>0</v>
      </c>
      <c r="H25" s="81">
        <v>0</v>
      </c>
      <c r="I25" s="81">
        <v>0</v>
      </c>
      <c r="J25" s="81"/>
      <c r="K25" s="81"/>
      <c r="L25" s="81"/>
      <c r="M25" s="81"/>
      <c r="N25" s="81"/>
      <c r="O25" s="81"/>
      <c r="P25" s="81"/>
      <c r="Q25" s="81"/>
      <c r="R25" s="25"/>
      <c r="S25" s="4">
        <v>18</v>
      </c>
    </row>
    <row r="26" spans="1:19">
      <c r="A26" s="89" t="s">
        <v>26</v>
      </c>
      <c r="B26" s="83">
        <f>HLOOKUP($B$7,$F$8:$Q$74,S26,FALSE)</f>
        <v>4.3621000000000437E-2</v>
      </c>
      <c r="C26" s="92"/>
      <c r="D26" s="92"/>
      <c r="E26" s="99"/>
      <c r="F26" s="83">
        <f t="shared" ref="F26:Q26" si="9">F24+F25</f>
        <v>9.7109999999998933E-3</v>
      </c>
      <c r="G26" s="83">
        <f t="shared" si="9"/>
        <v>1.6710999999999893E-2</v>
      </c>
      <c r="H26" s="83">
        <f t="shared" si="9"/>
        <v>3.1453000000000397E-2</v>
      </c>
      <c r="I26" s="83">
        <f t="shared" si="9"/>
        <v>4.3621000000000437E-2</v>
      </c>
      <c r="J26" s="83">
        <f t="shared" si="9"/>
        <v>4.3621000000000437E-2</v>
      </c>
      <c r="K26" s="83">
        <f t="shared" si="9"/>
        <v>4.3621000000000437E-2</v>
      </c>
      <c r="L26" s="83">
        <f t="shared" si="9"/>
        <v>4.3621000000000437E-2</v>
      </c>
      <c r="M26" s="83">
        <f t="shared" si="9"/>
        <v>4.3621000000000437E-2</v>
      </c>
      <c r="N26" s="83">
        <f t="shared" si="9"/>
        <v>4.3621000000000437E-2</v>
      </c>
      <c r="O26" s="83">
        <f t="shared" si="9"/>
        <v>4.3621000000000437E-2</v>
      </c>
      <c r="P26" s="83">
        <f t="shared" si="9"/>
        <v>4.3621000000000437E-2</v>
      </c>
      <c r="Q26" s="83">
        <f t="shared" si="9"/>
        <v>4.3621000000000437E-2</v>
      </c>
      <c r="R26" s="25"/>
      <c r="S26" s="4">
        <v>19</v>
      </c>
    </row>
    <row r="27" spans="1:19">
      <c r="A27" s="61" t="s">
        <v>91</v>
      </c>
      <c r="B27" s="5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  <c r="S27" s="4">
        <v>20</v>
      </c>
    </row>
    <row r="28" spans="1:19">
      <c r="A28" s="86" t="s">
        <v>79</v>
      </c>
      <c r="B28" s="19">
        <f>HLOOKUP($B$7,$F$8:$Q$74,S28,FALSE)</f>
        <v>0</v>
      </c>
      <c r="F28" s="29">
        <f>F13</f>
        <v>0</v>
      </c>
      <c r="G28" s="29">
        <f t="shared" ref="G28:Q28" si="10">F28+G13</f>
        <v>0</v>
      </c>
      <c r="H28" s="29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10"/>
        <v>0</v>
      </c>
      <c r="O28" s="29">
        <f t="shared" si="10"/>
        <v>0</v>
      </c>
      <c r="P28" s="29">
        <f t="shared" si="10"/>
        <v>0</v>
      </c>
      <c r="Q28" s="29">
        <f t="shared" si="10"/>
        <v>0</v>
      </c>
      <c r="R28" s="64"/>
      <c r="S28" s="4">
        <v>21</v>
      </c>
    </row>
    <row r="29" spans="1:19">
      <c r="A29" s="86" t="s">
        <v>11</v>
      </c>
      <c r="B29" s="19">
        <f>HLOOKUP($B$7,$F$8:$Q$74,S29,FALSE)</f>
        <v>0</v>
      </c>
      <c r="E29" s="20" t="s">
        <v>30</v>
      </c>
      <c r="F29" s="7">
        <v>0</v>
      </c>
      <c r="G29" s="7">
        <v>0</v>
      </c>
      <c r="H29" s="7">
        <v>0</v>
      </c>
      <c r="I29" s="7">
        <v>0</v>
      </c>
      <c r="J29" s="7"/>
      <c r="K29" s="7"/>
      <c r="L29" s="7"/>
      <c r="M29" s="7"/>
      <c r="N29" s="7"/>
      <c r="O29" s="7"/>
      <c r="P29" s="7"/>
      <c r="Q29" s="7"/>
      <c r="R29" s="64"/>
      <c r="S29" s="4">
        <v>22</v>
      </c>
    </row>
    <row r="30" spans="1:19">
      <c r="A30" s="89" t="s">
        <v>45</v>
      </c>
      <c r="B30" s="51">
        <f>HLOOKUP($B$7,$F$8:$Q$74,S30,FALSE)</f>
        <v>0</v>
      </c>
      <c r="C30" s="92"/>
      <c r="D30" s="92"/>
      <c r="E30" s="92"/>
      <c r="F30" s="95">
        <f t="shared" ref="F30:Q30" si="11">F28+F29</f>
        <v>0</v>
      </c>
      <c r="G30" s="95">
        <f t="shared" si="11"/>
        <v>0</v>
      </c>
      <c r="H30" s="95">
        <f t="shared" si="11"/>
        <v>0</v>
      </c>
      <c r="I30" s="95">
        <f t="shared" si="11"/>
        <v>0</v>
      </c>
      <c r="J30" s="95">
        <f t="shared" si="11"/>
        <v>0</v>
      </c>
      <c r="K30" s="95">
        <f t="shared" si="11"/>
        <v>0</v>
      </c>
      <c r="L30" s="95">
        <f t="shared" si="11"/>
        <v>0</v>
      </c>
      <c r="M30" s="95">
        <f t="shared" si="11"/>
        <v>0</v>
      </c>
      <c r="N30" s="95">
        <f t="shared" si="11"/>
        <v>0</v>
      </c>
      <c r="O30" s="95">
        <f t="shared" si="11"/>
        <v>0</v>
      </c>
      <c r="P30" s="95">
        <f t="shared" si="11"/>
        <v>0</v>
      </c>
      <c r="Q30" s="95">
        <f t="shared" si="11"/>
        <v>0</v>
      </c>
      <c r="R30" s="64"/>
      <c r="S30" s="4">
        <v>23</v>
      </c>
    </row>
    <row r="31" spans="1:19">
      <c r="A31" s="61" t="s">
        <v>59</v>
      </c>
      <c r="B31" s="5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  <c r="S31" s="4">
        <v>24</v>
      </c>
    </row>
    <row r="32" spans="1:19">
      <c r="A32" s="90" t="s">
        <v>50</v>
      </c>
      <c r="B32" s="49">
        <f t="shared" ref="B32:B40" si="12">HLOOKUP($B$7,$F$8:$Q$74,S32,FALSE)</f>
        <v>8333.4700000000012</v>
      </c>
      <c r="E32" s="20" t="s">
        <v>28</v>
      </c>
      <c r="F32" s="9">
        <v>1442.3600000000001</v>
      </c>
      <c r="G32" s="9">
        <v>12294.07</v>
      </c>
      <c r="H32" s="9">
        <v>4504.3</v>
      </c>
      <c r="I32" s="9">
        <v>8333.4700000000012</v>
      </c>
      <c r="J32" s="9"/>
      <c r="K32" s="9"/>
      <c r="L32" s="9"/>
      <c r="M32" s="9"/>
      <c r="N32" s="9"/>
      <c r="O32" s="9"/>
      <c r="P32" s="9"/>
      <c r="Q32" s="9"/>
      <c r="R32" s="85">
        <f t="shared" ref="R32:R38" si="13">SUM(F32:Q32)</f>
        <v>26574.2</v>
      </c>
      <c r="S32" s="4">
        <v>25</v>
      </c>
    </row>
    <row r="33" spans="1:19">
      <c r="A33" s="90" t="s">
        <v>51</v>
      </c>
      <c r="B33" s="49">
        <f t="shared" si="12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si="13"/>
        <v>0</v>
      </c>
      <c r="S33" s="4">
        <v>26</v>
      </c>
    </row>
    <row r="34" spans="1:19">
      <c r="A34" s="90" t="s">
        <v>52</v>
      </c>
      <c r="B34" s="49">
        <f t="shared" si="12"/>
        <v>62434.39</v>
      </c>
      <c r="E34" s="20" t="s">
        <v>28</v>
      </c>
      <c r="F34" s="9">
        <v>0</v>
      </c>
      <c r="G34" s="9">
        <v>3969.64</v>
      </c>
      <c r="H34" s="9">
        <v>3215.43</v>
      </c>
      <c r="I34" s="9">
        <v>62434.39</v>
      </c>
      <c r="J34" s="9"/>
      <c r="K34" s="9"/>
      <c r="L34" s="9"/>
      <c r="M34" s="9"/>
      <c r="N34" s="9"/>
      <c r="O34" s="9"/>
      <c r="P34" s="9"/>
      <c r="Q34" s="9"/>
      <c r="R34" s="85">
        <f t="shared" si="13"/>
        <v>69619.459999999992</v>
      </c>
      <c r="S34" s="4">
        <v>27</v>
      </c>
    </row>
    <row r="35" spans="1:19">
      <c r="A35" s="90" t="s">
        <v>53</v>
      </c>
      <c r="B35" s="49">
        <f t="shared" si="12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3"/>
        <v>0</v>
      </c>
      <c r="S35" s="4">
        <v>28</v>
      </c>
    </row>
    <row r="36" spans="1:19">
      <c r="A36" s="90" t="s">
        <v>54</v>
      </c>
      <c r="B36" s="49">
        <f t="shared" si="12"/>
        <v>62215.78</v>
      </c>
      <c r="E36" s="20" t="s">
        <v>28</v>
      </c>
      <c r="F36" s="9">
        <v>0</v>
      </c>
      <c r="G36" s="9">
        <v>15989.86</v>
      </c>
      <c r="H36" s="9">
        <v>51041.01</v>
      </c>
      <c r="I36" s="9">
        <v>62215.78</v>
      </c>
      <c r="J36" s="9"/>
      <c r="K36" s="9"/>
      <c r="L36" s="9"/>
      <c r="M36" s="9"/>
      <c r="N36" s="9"/>
      <c r="O36" s="9"/>
      <c r="P36" s="9"/>
      <c r="Q36" s="9"/>
      <c r="R36" s="85">
        <f t="shared" si="13"/>
        <v>129246.65</v>
      </c>
      <c r="S36" s="4">
        <v>29</v>
      </c>
    </row>
    <row r="37" spans="1:19">
      <c r="A37" s="90" t="s">
        <v>55</v>
      </c>
      <c r="B37" s="49">
        <f t="shared" si="12"/>
        <v>62780.04</v>
      </c>
      <c r="E37" s="20" t="s">
        <v>28</v>
      </c>
      <c r="F37" s="9">
        <v>0</v>
      </c>
      <c r="G37" s="9">
        <v>27140.42</v>
      </c>
      <c r="H37" s="9">
        <v>57891.94</v>
      </c>
      <c r="I37" s="9">
        <v>62780.04</v>
      </c>
      <c r="J37" s="9"/>
      <c r="K37" s="9"/>
      <c r="L37" s="9"/>
      <c r="M37" s="9"/>
      <c r="N37" s="9"/>
      <c r="O37" s="9"/>
      <c r="P37" s="9"/>
      <c r="Q37" s="9"/>
      <c r="R37" s="85">
        <f t="shared" si="13"/>
        <v>147812.4</v>
      </c>
      <c r="S37" s="4">
        <v>30</v>
      </c>
    </row>
    <row r="38" spans="1:19">
      <c r="A38" s="90" t="s">
        <v>56</v>
      </c>
      <c r="B38" s="49">
        <f t="shared" si="12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 t="shared" si="13"/>
        <v>0</v>
      </c>
      <c r="S38" s="4">
        <v>31</v>
      </c>
    </row>
    <row r="39" spans="1:19">
      <c r="A39" s="90" t="s">
        <v>95</v>
      </c>
      <c r="B39" s="49">
        <f t="shared" si="12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/>
      <c r="S39" s="4">
        <v>32</v>
      </c>
    </row>
    <row r="40" spans="1:19">
      <c r="A40" s="89" t="s">
        <v>60</v>
      </c>
      <c r="B40" s="35">
        <f t="shared" si="12"/>
        <v>195763.68000000002</v>
      </c>
      <c r="C40" s="92"/>
      <c r="D40" s="92"/>
      <c r="E40" s="92"/>
      <c r="F40" s="96">
        <f t="shared" ref="F40:Q40" si="14">SUM(F32:F39)</f>
        <v>1442.3600000000001</v>
      </c>
      <c r="G40" s="96">
        <f t="shared" si="14"/>
        <v>59393.99</v>
      </c>
      <c r="H40" s="96">
        <f t="shared" si="14"/>
        <v>116652.68000000001</v>
      </c>
      <c r="I40" s="96">
        <f t="shared" si="14"/>
        <v>195763.68000000002</v>
      </c>
      <c r="J40" s="96">
        <f t="shared" si="14"/>
        <v>0</v>
      </c>
      <c r="K40" s="96">
        <f t="shared" si="14"/>
        <v>0</v>
      </c>
      <c r="L40" s="96">
        <f t="shared" si="14"/>
        <v>0</v>
      </c>
      <c r="M40" s="96">
        <f t="shared" si="14"/>
        <v>0</v>
      </c>
      <c r="N40" s="96">
        <f t="shared" si="14"/>
        <v>0</v>
      </c>
      <c r="O40" s="96">
        <f t="shared" si="14"/>
        <v>0</v>
      </c>
      <c r="P40" s="96">
        <f t="shared" si="14"/>
        <v>0</v>
      </c>
      <c r="Q40" s="96">
        <f t="shared" si="14"/>
        <v>0</v>
      </c>
      <c r="R40" s="66">
        <f>SUM(F40:Q40)</f>
        <v>373252.71</v>
      </c>
      <c r="S40" s="4">
        <v>33</v>
      </c>
    </row>
    <row r="41" spans="1:19">
      <c r="A41" s="61" t="s">
        <v>96</v>
      </c>
      <c r="B41" s="5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5"/>
      <c r="S41" s="4">
        <v>34</v>
      </c>
    </row>
    <row r="42" spans="1:19">
      <c r="A42" s="90" t="s">
        <v>100</v>
      </c>
      <c r="B42" s="98">
        <f t="shared" ref="B42:B49" si="15">HLOOKUP($B$7,$F$8:$Q$74,S42,FALSE)</f>
        <v>0</v>
      </c>
      <c r="E42" s="20" t="s">
        <v>30</v>
      </c>
      <c r="F42" s="9">
        <v>0</v>
      </c>
      <c r="G42" s="9">
        <v>0</v>
      </c>
      <c r="H42" s="9">
        <v>0</v>
      </c>
      <c r="I42" s="9">
        <v>0</v>
      </c>
      <c r="J42" s="9"/>
      <c r="K42" s="9"/>
      <c r="L42" s="9"/>
      <c r="M42" s="9"/>
      <c r="N42" s="9"/>
      <c r="O42" s="9"/>
      <c r="P42" s="9"/>
      <c r="Q42" s="9"/>
      <c r="R42" s="25"/>
      <c r="S42" s="4">
        <v>35</v>
      </c>
    </row>
    <row r="43" spans="1:19">
      <c r="A43" s="90" t="s">
        <v>101</v>
      </c>
      <c r="B43" s="98">
        <f t="shared" si="15"/>
        <v>0</v>
      </c>
      <c r="E43" s="20" t="s">
        <v>30</v>
      </c>
      <c r="F43" s="9">
        <v>0</v>
      </c>
      <c r="G43" s="9">
        <v>0</v>
      </c>
      <c r="H43" s="9">
        <v>0</v>
      </c>
      <c r="I43" s="9">
        <v>0</v>
      </c>
      <c r="J43" s="9"/>
      <c r="K43" s="9"/>
      <c r="L43" s="9"/>
      <c r="M43" s="9"/>
      <c r="N43" s="9"/>
      <c r="O43" s="9"/>
      <c r="P43" s="9"/>
      <c r="Q43" s="9"/>
      <c r="R43" s="25"/>
      <c r="S43" s="4">
        <v>36</v>
      </c>
    </row>
    <row r="44" spans="1:19">
      <c r="A44" s="90" t="s">
        <v>102</v>
      </c>
      <c r="B44" s="98">
        <f t="shared" si="15"/>
        <v>0</v>
      </c>
      <c r="E44" s="20" t="s">
        <v>30</v>
      </c>
      <c r="F44" s="9">
        <v>0</v>
      </c>
      <c r="G44" s="9">
        <v>0</v>
      </c>
      <c r="H44" s="9">
        <v>0</v>
      </c>
      <c r="I44" s="9">
        <v>0</v>
      </c>
      <c r="J44" s="9"/>
      <c r="K44" s="9"/>
      <c r="L44" s="9"/>
      <c r="M44" s="9"/>
      <c r="N44" s="9"/>
      <c r="O44" s="9"/>
      <c r="P44" s="9"/>
      <c r="Q44" s="9"/>
      <c r="R44" s="25"/>
      <c r="S44" s="4">
        <v>37</v>
      </c>
    </row>
    <row r="45" spans="1:19">
      <c r="A45" s="90" t="s">
        <v>103</v>
      </c>
      <c r="B45" s="98">
        <f t="shared" si="15"/>
        <v>0</v>
      </c>
      <c r="E45" s="20" t="s">
        <v>30</v>
      </c>
      <c r="F45" s="9">
        <v>0</v>
      </c>
      <c r="G45" s="9">
        <v>0</v>
      </c>
      <c r="H45" s="9">
        <v>0</v>
      </c>
      <c r="I45" s="9">
        <v>0</v>
      </c>
      <c r="J45" s="9"/>
      <c r="K45" s="9"/>
      <c r="L45" s="9"/>
      <c r="M45" s="9"/>
      <c r="N45" s="9"/>
      <c r="O45" s="9"/>
      <c r="P45" s="9"/>
      <c r="Q45" s="9"/>
      <c r="R45" s="25"/>
      <c r="S45" s="4">
        <v>38</v>
      </c>
    </row>
    <row r="46" spans="1:19">
      <c r="A46" s="90" t="s">
        <v>104</v>
      </c>
      <c r="B46" s="98">
        <f t="shared" si="15"/>
        <v>0</v>
      </c>
      <c r="E46" s="20" t="s">
        <v>30</v>
      </c>
      <c r="F46" s="9">
        <v>0</v>
      </c>
      <c r="G46" s="9">
        <v>0</v>
      </c>
      <c r="H46" s="9">
        <v>0</v>
      </c>
      <c r="I46" s="9">
        <v>0</v>
      </c>
      <c r="J46" s="9"/>
      <c r="K46" s="9"/>
      <c r="L46" s="9"/>
      <c r="M46" s="9"/>
      <c r="N46" s="9"/>
      <c r="O46" s="9"/>
      <c r="P46" s="9"/>
      <c r="Q46" s="9"/>
      <c r="R46" s="25"/>
      <c r="S46" s="4">
        <v>39</v>
      </c>
    </row>
    <row r="47" spans="1:19">
      <c r="A47" s="90" t="s">
        <v>105</v>
      </c>
      <c r="B47" s="98">
        <f t="shared" si="15"/>
        <v>0</v>
      </c>
      <c r="E47" s="20" t="s">
        <v>30</v>
      </c>
      <c r="F47" s="9">
        <v>0</v>
      </c>
      <c r="G47" s="9">
        <v>0</v>
      </c>
      <c r="H47" s="9">
        <v>0</v>
      </c>
      <c r="I47" s="9">
        <v>0</v>
      </c>
      <c r="J47" s="9"/>
      <c r="K47" s="9"/>
      <c r="L47" s="9"/>
      <c r="M47" s="9"/>
      <c r="N47" s="9"/>
      <c r="O47" s="9"/>
      <c r="P47" s="9"/>
      <c r="Q47" s="9"/>
      <c r="R47" s="25"/>
      <c r="S47" s="4">
        <v>40</v>
      </c>
    </row>
    <row r="48" spans="1:19">
      <c r="A48" s="90" t="s">
        <v>106</v>
      </c>
      <c r="B48" s="98">
        <f t="shared" si="15"/>
        <v>0</v>
      </c>
      <c r="E48" s="20" t="s">
        <v>30</v>
      </c>
      <c r="F48" s="9">
        <v>0</v>
      </c>
      <c r="G48" s="9">
        <v>0</v>
      </c>
      <c r="H48" s="9">
        <v>0</v>
      </c>
      <c r="I48" s="9">
        <v>0</v>
      </c>
      <c r="J48" s="9"/>
      <c r="K48" s="9"/>
      <c r="L48" s="9"/>
      <c r="M48" s="9"/>
      <c r="N48" s="9"/>
      <c r="O48" s="9"/>
      <c r="P48" s="9"/>
      <c r="Q48" s="9"/>
      <c r="R48" s="25"/>
      <c r="S48" s="4">
        <v>41</v>
      </c>
    </row>
    <row r="49" spans="1:19">
      <c r="A49" s="90" t="s">
        <v>107</v>
      </c>
      <c r="B49" s="98">
        <f t="shared" si="15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5"/>
      <c r="S49" s="4">
        <v>42</v>
      </c>
    </row>
    <row r="50" spans="1:19">
      <c r="A50" s="61" t="s">
        <v>62</v>
      </c>
      <c r="B50" s="5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4">
        <v>43</v>
      </c>
    </row>
    <row r="51" spans="1:19">
      <c r="A51" s="1" t="s">
        <v>71</v>
      </c>
      <c r="B51" s="31">
        <f t="shared" ref="B51:B58" si="16">HLOOKUP($B$7,$F$8:$Q$74,S51,FALSE)</f>
        <v>3012857</v>
      </c>
      <c r="F51" s="32">
        <f t="shared" ref="F51:Q51" si="17">$F$4+$F$5</f>
        <v>3012857</v>
      </c>
      <c r="G51" s="32">
        <f t="shared" si="17"/>
        <v>3012857</v>
      </c>
      <c r="H51" s="32">
        <f t="shared" si="17"/>
        <v>3012857</v>
      </c>
      <c r="I51" s="32">
        <f t="shared" si="17"/>
        <v>3012857</v>
      </c>
      <c r="J51" s="32">
        <f t="shared" si="17"/>
        <v>3012857</v>
      </c>
      <c r="K51" s="32">
        <f t="shared" si="17"/>
        <v>3012857</v>
      </c>
      <c r="L51" s="32">
        <f t="shared" si="17"/>
        <v>3012857</v>
      </c>
      <c r="M51" s="32">
        <f t="shared" si="17"/>
        <v>3012857</v>
      </c>
      <c r="N51" s="32">
        <f t="shared" si="17"/>
        <v>3012857</v>
      </c>
      <c r="O51" s="32">
        <f t="shared" si="17"/>
        <v>3012857</v>
      </c>
      <c r="P51" s="32">
        <f t="shared" si="17"/>
        <v>3012857</v>
      </c>
      <c r="Q51" s="32">
        <f t="shared" si="17"/>
        <v>3012857</v>
      </c>
      <c r="R51" s="62"/>
      <c r="S51" s="4">
        <v>44</v>
      </c>
    </row>
    <row r="52" spans="1:19">
      <c r="A52" s="1" t="s">
        <v>72</v>
      </c>
      <c r="B52" s="31">
        <f t="shared" si="16"/>
        <v>1004285.6666666666</v>
      </c>
      <c r="F52" s="33">
        <f t="shared" ref="F52:Q52" si="18">F51*(F9/12)</f>
        <v>251071.41666666666</v>
      </c>
      <c r="G52" s="33">
        <f t="shared" si="18"/>
        <v>502142.83333333331</v>
      </c>
      <c r="H52" s="33">
        <f t="shared" si="18"/>
        <v>753214.25</v>
      </c>
      <c r="I52" s="33">
        <f t="shared" si="18"/>
        <v>1004285.6666666666</v>
      </c>
      <c r="J52" s="33">
        <f t="shared" si="18"/>
        <v>1255357.0833333335</v>
      </c>
      <c r="K52" s="33">
        <f t="shared" si="18"/>
        <v>1506428.5</v>
      </c>
      <c r="L52" s="33">
        <f t="shared" si="18"/>
        <v>1757499.9166666667</v>
      </c>
      <c r="M52" s="33">
        <f t="shared" si="18"/>
        <v>2008571.3333333333</v>
      </c>
      <c r="N52" s="33">
        <f t="shared" si="18"/>
        <v>2259642.75</v>
      </c>
      <c r="O52" s="33">
        <f t="shared" si="18"/>
        <v>2510714.166666667</v>
      </c>
      <c r="P52" s="33">
        <f t="shared" si="18"/>
        <v>2761785.583333333</v>
      </c>
      <c r="Q52" s="33">
        <f t="shared" si="18"/>
        <v>3012857</v>
      </c>
      <c r="R52" s="64"/>
      <c r="S52" s="4">
        <v>45</v>
      </c>
    </row>
    <row r="53" spans="1:19">
      <c r="A53" s="86" t="s">
        <v>67</v>
      </c>
      <c r="B53" s="98">
        <f t="shared" si="16"/>
        <v>373252.71</v>
      </c>
      <c r="F53" s="37">
        <f>F40</f>
        <v>1442.3600000000001</v>
      </c>
      <c r="G53" s="37">
        <f t="shared" ref="G53:Q53" si="19">F53+G40</f>
        <v>60836.35</v>
      </c>
      <c r="H53" s="37">
        <f t="shared" si="19"/>
        <v>177489.03</v>
      </c>
      <c r="I53" s="37">
        <f t="shared" si="19"/>
        <v>373252.71</v>
      </c>
      <c r="J53" s="37">
        <f t="shared" si="19"/>
        <v>373252.71</v>
      </c>
      <c r="K53" s="37">
        <f t="shared" si="19"/>
        <v>373252.71</v>
      </c>
      <c r="L53" s="37">
        <f t="shared" si="19"/>
        <v>373252.71</v>
      </c>
      <c r="M53" s="37">
        <f t="shared" si="19"/>
        <v>373252.71</v>
      </c>
      <c r="N53" s="37">
        <f t="shared" si="19"/>
        <v>373252.71</v>
      </c>
      <c r="O53" s="37">
        <f t="shared" si="19"/>
        <v>373252.71</v>
      </c>
      <c r="P53" s="37">
        <f t="shared" si="19"/>
        <v>373252.71</v>
      </c>
      <c r="Q53" s="37">
        <f t="shared" si="19"/>
        <v>373252.71</v>
      </c>
      <c r="R53" s="67"/>
      <c r="S53" s="4">
        <v>46</v>
      </c>
    </row>
    <row r="54" spans="1:19">
      <c r="A54" s="86" t="s">
        <v>16</v>
      </c>
      <c r="B54" s="98">
        <f t="shared" si="16"/>
        <v>0</v>
      </c>
      <c r="E54" s="3"/>
      <c r="F54" s="37">
        <f t="shared" ref="F54:Q54" si="20">SUM(F42:F49)</f>
        <v>0</v>
      </c>
      <c r="G54" s="37">
        <f t="shared" si="20"/>
        <v>0</v>
      </c>
      <c r="H54" s="37">
        <f t="shared" si="20"/>
        <v>0</v>
      </c>
      <c r="I54" s="37">
        <f t="shared" si="20"/>
        <v>0</v>
      </c>
      <c r="J54" s="37">
        <f t="shared" si="20"/>
        <v>0</v>
      </c>
      <c r="K54" s="37">
        <f t="shared" si="20"/>
        <v>0</v>
      </c>
      <c r="L54" s="37">
        <f t="shared" si="20"/>
        <v>0</v>
      </c>
      <c r="M54" s="37">
        <f t="shared" si="20"/>
        <v>0</v>
      </c>
      <c r="N54" s="37">
        <f t="shared" si="20"/>
        <v>0</v>
      </c>
      <c r="O54" s="37">
        <f t="shared" si="20"/>
        <v>0</v>
      </c>
      <c r="P54" s="37">
        <f t="shared" si="20"/>
        <v>0</v>
      </c>
      <c r="Q54" s="37">
        <f t="shared" si="20"/>
        <v>0</v>
      </c>
      <c r="R54" s="67"/>
      <c r="S54" s="4">
        <v>47</v>
      </c>
    </row>
    <row r="55" spans="1:19">
      <c r="A55" s="91" t="s">
        <v>68</v>
      </c>
      <c r="B55" s="35">
        <f t="shared" si="16"/>
        <v>373252.71</v>
      </c>
      <c r="C55" s="92"/>
      <c r="D55" s="92"/>
      <c r="E55" s="93"/>
      <c r="F55" s="36">
        <f t="shared" ref="F55:Q55" si="21">F53+F54</f>
        <v>1442.3600000000001</v>
      </c>
      <c r="G55" s="36">
        <f t="shared" si="21"/>
        <v>60836.35</v>
      </c>
      <c r="H55" s="36">
        <f t="shared" si="21"/>
        <v>177489.03</v>
      </c>
      <c r="I55" s="36">
        <f t="shared" si="21"/>
        <v>373252.71</v>
      </c>
      <c r="J55" s="36">
        <f t="shared" si="21"/>
        <v>373252.71</v>
      </c>
      <c r="K55" s="36">
        <f t="shared" si="21"/>
        <v>373252.71</v>
      </c>
      <c r="L55" s="36">
        <f t="shared" si="21"/>
        <v>373252.71</v>
      </c>
      <c r="M55" s="36">
        <f t="shared" si="21"/>
        <v>373252.71</v>
      </c>
      <c r="N55" s="36">
        <f t="shared" si="21"/>
        <v>373252.71</v>
      </c>
      <c r="O55" s="36">
        <f t="shared" si="21"/>
        <v>373252.71</v>
      </c>
      <c r="P55" s="36">
        <f t="shared" si="21"/>
        <v>373252.71</v>
      </c>
      <c r="Q55" s="36">
        <f t="shared" si="21"/>
        <v>373252.71</v>
      </c>
      <c r="R55" s="67"/>
      <c r="S55" s="4">
        <v>48</v>
      </c>
    </row>
    <row r="56" spans="1:19">
      <c r="A56" s="86" t="s">
        <v>84</v>
      </c>
      <c r="B56" s="88">
        <f t="shared" si="16"/>
        <v>0.12388663318571044</v>
      </c>
      <c r="F56" s="88">
        <f t="shared" ref="F56:Q56" si="22">F53/F51</f>
        <v>4.7873496817140679E-4</v>
      </c>
      <c r="G56" s="88">
        <f t="shared" si="22"/>
        <v>2.0192246097308967E-2</v>
      </c>
      <c r="H56" s="88">
        <f t="shared" si="22"/>
        <v>5.8910539066407731E-2</v>
      </c>
      <c r="I56" s="88">
        <f t="shared" si="22"/>
        <v>0.12388663318571044</v>
      </c>
      <c r="J56" s="88">
        <f t="shared" si="22"/>
        <v>0.12388663318571044</v>
      </c>
      <c r="K56" s="88">
        <f t="shared" si="22"/>
        <v>0.12388663318571044</v>
      </c>
      <c r="L56" s="88">
        <f t="shared" si="22"/>
        <v>0.12388663318571044</v>
      </c>
      <c r="M56" s="88">
        <f t="shared" si="22"/>
        <v>0.12388663318571044</v>
      </c>
      <c r="N56" s="88">
        <f t="shared" si="22"/>
        <v>0.12388663318571044</v>
      </c>
      <c r="O56" s="88">
        <f t="shared" si="22"/>
        <v>0.12388663318571044</v>
      </c>
      <c r="P56" s="88">
        <f t="shared" si="22"/>
        <v>0.12388663318571044</v>
      </c>
      <c r="Q56" s="88">
        <f t="shared" si="22"/>
        <v>0.12388663318571044</v>
      </c>
      <c r="R56" s="97"/>
      <c r="S56" s="4">
        <v>49</v>
      </c>
    </row>
    <row r="57" spans="1:19">
      <c r="A57" s="86" t="s">
        <v>85</v>
      </c>
      <c r="B57" s="88">
        <f t="shared" si="16"/>
        <v>0.12388663318571044</v>
      </c>
      <c r="F57" s="88">
        <f t="shared" ref="F57:Q57" si="23">F55/F51</f>
        <v>4.7873496817140679E-4</v>
      </c>
      <c r="G57" s="88">
        <f t="shared" si="23"/>
        <v>2.0192246097308967E-2</v>
      </c>
      <c r="H57" s="88">
        <f t="shared" si="23"/>
        <v>5.8910539066407731E-2</v>
      </c>
      <c r="I57" s="88">
        <f t="shared" si="23"/>
        <v>0.12388663318571044</v>
      </c>
      <c r="J57" s="88">
        <f t="shared" si="23"/>
        <v>0.12388663318571044</v>
      </c>
      <c r="K57" s="88">
        <f t="shared" si="23"/>
        <v>0.12388663318571044</v>
      </c>
      <c r="L57" s="88">
        <f t="shared" si="23"/>
        <v>0.12388663318571044</v>
      </c>
      <c r="M57" s="88">
        <f t="shared" si="23"/>
        <v>0.12388663318571044</v>
      </c>
      <c r="N57" s="88">
        <f t="shared" si="23"/>
        <v>0.12388663318571044</v>
      </c>
      <c r="O57" s="88">
        <f t="shared" si="23"/>
        <v>0.12388663318571044</v>
      </c>
      <c r="P57" s="88">
        <f t="shared" si="23"/>
        <v>0.12388663318571044</v>
      </c>
      <c r="Q57" s="88">
        <f t="shared" si="23"/>
        <v>0.12388663318571044</v>
      </c>
      <c r="R57" s="97"/>
      <c r="S57" s="4">
        <v>50</v>
      </c>
    </row>
    <row r="58" spans="1:19">
      <c r="A58" s="86" t="s">
        <v>86</v>
      </c>
      <c r="B58" s="88">
        <f t="shared" si="16"/>
        <v>0.37165989955713136</v>
      </c>
      <c r="F58" s="88">
        <f t="shared" ref="F58:Q58" si="24">F53/F52</f>
        <v>5.7448196180568817E-3</v>
      </c>
      <c r="G58" s="88">
        <f t="shared" si="24"/>
        <v>0.12115347658385379</v>
      </c>
      <c r="H58" s="88">
        <f t="shared" si="24"/>
        <v>0.23564215626563093</v>
      </c>
      <c r="I58" s="88">
        <f t="shared" si="24"/>
        <v>0.37165989955713136</v>
      </c>
      <c r="J58" s="88">
        <f t="shared" si="24"/>
        <v>0.29732791964570504</v>
      </c>
      <c r="K58" s="88">
        <f t="shared" si="24"/>
        <v>0.24777326637142089</v>
      </c>
      <c r="L58" s="88">
        <f t="shared" si="24"/>
        <v>0.21237708546121789</v>
      </c>
      <c r="M58" s="88">
        <f t="shared" si="24"/>
        <v>0.18582994977856568</v>
      </c>
      <c r="N58" s="88">
        <f t="shared" si="24"/>
        <v>0.16518217758094728</v>
      </c>
      <c r="O58" s="88">
        <f t="shared" si="24"/>
        <v>0.14866395982285252</v>
      </c>
      <c r="P58" s="88">
        <f t="shared" si="24"/>
        <v>0.13514905438441141</v>
      </c>
      <c r="Q58" s="88">
        <f t="shared" si="24"/>
        <v>0.12388663318571044</v>
      </c>
      <c r="R58" s="97"/>
      <c r="S58" s="4">
        <v>51</v>
      </c>
    </row>
    <row r="59" spans="1:19">
      <c r="A59" s="61" t="s">
        <v>58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7"/>
      <c r="S59" s="4">
        <v>52</v>
      </c>
    </row>
    <row r="60" spans="1:19">
      <c r="A60" s="1" t="s">
        <v>64</v>
      </c>
      <c r="B60" s="31">
        <f>HLOOKUP($B$7,$F$8:$Q$74,S60,FALSE)</f>
        <v>12051428</v>
      </c>
      <c r="F60" s="102">
        <f t="shared" ref="F60:Q60" si="25">SUM($F$4:$I$4)+$F$5</f>
        <v>12051428</v>
      </c>
      <c r="G60" s="102">
        <f t="shared" si="25"/>
        <v>12051428</v>
      </c>
      <c r="H60" s="102">
        <f t="shared" si="25"/>
        <v>12051428</v>
      </c>
      <c r="I60" s="102">
        <f t="shared" si="25"/>
        <v>12051428</v>
      </c>
      <c r="J60" s="102">
        <f t="shared" si="25"/>
        <v>12051428</v>
      </c>
      <c r="K60" s="102">
        <f t="shared" si="25"/>
        <v>12051428</v>
      </c>
      <c r="L60" s="102">
        <f t="shared" si="25"/>
        <v>12051428</v>
      </c>
      <c r="M60" s="102">
        <f t="shared" si="25"/>
        <v>12051428</v>
      </c>
      <c r="N60" s="102">
        <f t="shared" si="25"/>
        <v>12051428</v>
      </c>
      <c r="O60" s="102">
        <f t="shared" si="25"/>
        <v>12051428</v>
      </c>
      <c r="P60" s="102">
        <f t="shared" si="25"/>
        <v>12051428</v>
      </c>
      <c r="Q60" s="102">
        <f t="shared" si="25"/>
        <v>12051428</v>
      </c>
      <c r="R60" s="97"/>
      <c r="S60" s="4">
        <v>53</v>
      </c>
    </row>
    <row r="61" spans="1:19">
      <c r="A61" s="86" t="s">
        <v>70</v>
      </c>
      <c r="B61" s="98">
        <f>HLOOKUP($B$7,$F$8:$Q$74,S61,FALSE)</f>
        <v>373252.71</v>
      </c>
      <c r="F61" s="101">
        <f t="shared" ref="F61:Q61" si="26">F53</f>
        <v>1442.3600000000001</v>
      </c>
      <c r="G61" s="101">
        <f t="shared" si="26"/>
        <v>60836.35</v>
      </c>
      <c r="H61" s="101">
        <f t="shared" si="26"/>
        <v>177489.03</v>
      </c>
      <c r="I61" s="101">
        <f t="shared" si="26"/>
        <v>373252.71</v>
      </c>
      <c r="J61" s="101">
        <f t="shared" si="26"/>
        <v>373252.71</v>
      </c>
      <c r="K61" s="101">
        <f t="shared" si="26"/>
        <v>373252.71</v>
      </c>
      <c r="L61" s="101">
        <f t="shared" si="26"/>
        <v>373252.71</v>
      </c>
      <c r="M61" s="101">
        <f t="shared" si="26"/>
        <v>373252.71</v>
      </c>
      <c r="N61" s="101">
        <f t="shared" si="26"/>
        <v>373252.71</v>
      </c>
      <c r="O61" s="101">
        <f t="shared" si="26"/>
        <v>373252.71</v>
      </c>
      <c r="P61" s="101">
        <f t="shared" si="26"/>
        <v>373252.71</v>
      </c>
      <c r="Q61" s="101">
        <f t="shared" si="26"/>
        <v>373252.71</v>
      </c>
      <c r="R61" s="97"/>
      <c r="S61" s="4">
        <v>54</v>
      </c>
    </row>
    <row r="62" spans="1:19">
      <c r="A62" s="91" t="s">
        <v>69</v>
      </c>
      <c r="B62" s="106">
        <f>HLOOKUP($B$7,$F$8:$Q$74,S62,FALSE)</f>
        <v>373252.71</v>
      </c>
      <c r="F62" s="35">
        <f t="shared" ref="F62:Q62" si="27">F61+F54</f>
        <v>1442.3600000000001</v>
      </c>
      <c r="G62" s="35">
        <f t="shared" si="27"/>
        <v>60836.35</v>
      </c>
      <c r="H62" s="35">
        <f t="shared" si="27"/>
        <v>177489.03</v>
      </c>
      <c r="I62" s="35">
        <f t="shared" si="27"/>
        <v>373252.71</v>
      </c>
      <c r="J62" s="35">
        <f t="shared" si="27"/>
        <v>373252.71</v>
      </c>
      <c r="K62" s="35">
        <f t="shared" si="27"/>
        <v>373252.71</v>
      </c>
      <c r="L62" s="35">
        <f t="shared" si="27"/>
        <v>373252.71</v>
      </c>
      <c r="M62" s="35">
        <f t="shared" si="27"/>
        <v>373252.71</v>
      </c>
      <c r="N62" s="35">
        <f t="shared" si="27"/>
        <v>373252.71</v>
      </c>
      <c r="O62" s="35">
        <f t="shared" si="27"/>
        <v>373252.71</v>
      </c>
      <c r="P62" s="35">
        <f t="shared" si="27"/>
        <v>373252.71</v>
      </c>
      <c r="Q62" s="35">
        <f t="shared" si="27"/>
        <v>373252.71</v>
      </c>
      <c r="R62" s="97"/>
      <c r="S62" s="4">
        <v>55</v>
      </c>
    </row>
    <row r="63" spans="1:19">
      <c r="A63" s="86" t="s">
        <v>65</v>
      </c>
      <c r="B63" s="88">
        <f>HLOOKUP($B$7,$F$8:$Q$74,S63,FALSE)</f>
        <v>3.0971658296427611E-2</v>
      </c>
      <c r="F63" s="88">
        <f t="shared" ref="F63:Q63" si="28">F61/F60</f>
        <v>1.196837420428517E-4</v>
      </c>
      <c r="G63" s="88">
        <f t="shared" si="28"/>
        <v>5.0480615243272417E-3</v>
      </c>
      <c r="H63" s="88">
        <f t="shared" si="28"/>
        <v>1.4727634766601933E-2</v>
      </c>
      <c r="I63" s="88">
        <f t="shared" si="28"/>
        <v>3.0971658296427611E-2</v>
      </c>
      <c r="J63" s="88">
        <f t="shared" si="28"/>
        <v>3.0971658296427611E-2</v>
      </c>
      <c r="K63" s="88">
        <f t="shared" si="28"/>
        <v>3.0971658296427611E-2</v>
      </c>
      <c r="L63" s="88">
        <f t="shared" si="28"/>
        <v>3.0971658296427611E-2</v>
      </c>
      <c r="M63" s="88">
        <f t="shared" si="28"/>
        <v>3.0971658296427611E-2</v>
      </c>
      <c r="N63" s="88">
        <f t="shared" si="28"/>
        <v>3.0971658296427611E-2</v>
      </c>
      <c r="O63" s="88">
        <f t="shared" si="28"/>
        <v>3.0971658296427611E-2</v>
      </c>
      <c r="P63" s="88">
        <f t="shared" si="28"/>
        <v>3.0971658296427611E-2</v>
      </c>
      <c r="Q63" s="88">
        <f t="shared" si="28"/>
        <v>3.0971658296427611E-2</v>
      </c>
      <c r="R63" s="97"/>
      <c r="S63" s="4">
        <v>56</v>
      </c>
    </row>
    <row r="64" spans="1:19">
      <c r="A64" s="86" t="s">
        <v>66</v>
      </c>
      <c r="B64" s="88">
        <f>HLOOKUP($B$7,$F$8:$Q$74,S64,FALSE)</f>
        <v>3.0971658296427611E-2</v>
      </c>
      <c r="F64" s="88">
        <f t="shared" ref="F64:Q64" si="29">F62/F60</f>
        <v>1.196837420428517E-4</v>
      </c>
      <c r="G64" s="88">
        <f t="shared" si="29"/>
        <v>5.0480615243272417E-3</v>
      </c>
      <c r="H64" s="88">
        <f t="shared" si="29"/>
        <v>1.4727634766601933E-2</v>
      </c>
      <c r="I64" s="88">
        <f t="shared" si="29"/>
        <v>3.0971658296427611E-2</v>
      </c>
      <c r="J64" s="88">
        <f t="shared" si="29"/>
        <v>3.0971658296427611E-2</v>
      </c>
      <c r="K64" s="88">
        <f t="shared" si="29"/>
        <v>3.0971658296427611E-2</v>
      </c>
      <c r="L64" s="88">
        <f t="shared" si="29"/>
        <v>3.0971658296427611E-2</v>
      </c>
      <c r="M64" s="88">
        <f t="shared" si="29"/>
        <v>3.0971658296427611E-2</v>
      </c>
      <c r="N64" s="88">
        <f t="shared" si="29"/>
        <v>3.0971658296427611E-2</v>
      </c>
      <c r="O64" s="88">
        <f t="shared" si="29"/>
        <v>3.0971658296427611E-2</v>
      </c>
      <c r="P64" s="88">
        <f t="shared" si="29"/>
        <v>3.0971658296427611E-2</v>
      </c>
      <c r="Q64" s="88">
        <f t="shared" si="29"/>
        <v>3.0971658296427611E-2</v>
      </c>
      <c r="R64" s="97"/>
      <c r="S64" s="4">
        <v>57</v>
      </c>
    </row>
    <row r="65" spans="1:20">
      <c r="A65" s="61" t="s">
        <v>17</v>
      </c>
      <c r="B65" s="5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5"/>
      <c r="S65" s="4">
        <v>58</v>
      </c>
    </row>
    <row r="66" spans="1:20">
      <c r="A66" s="18" t="s">
        <v>18</v>
      </c>
      <c r="B66" s="40">
        <f>HLOOKUP($B$7,$F$8:$Q$74,S66,FALSE)</f>
        <v>0</v>
      </c>
      <c r="E66" s="20" t="s">
        <v>36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20">
      <c r="A67" s="18" t="s">
        <v>19</v>
      </c>
      <c r="B67" s="40">
        <f>HLOOKUP($B$7,$F$8:$Q$74,S67,FALSE)</f>
        <v>0</v>
      </c>
      <c r="E67" s="20" t="s">
        <v>36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20">
      <c r="A68" s="18" t="s">
        <v>20</v>
      </c>
      <c r="B68" s="40">
        <f>HLOOKUP($B$7,$F$8:$Q$74,S68,FALSE)</f>
        <v>0</v>
      </c>
      <c r="E68" s="20" t="s">
        <v>36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20">
      <c r="A69" s="18" t="s">
        <v>21</v>
      </c>
      <c r="B69" s="40">
        <f>HLOOKUP($B$7,$F$8:$Q$74,S69,FALSE)</f>
        <v>0</v>
      </c>
      <c r="E69" s="20" t="s">
        <v>37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20">
      <c r="A70" s="61" t="s">
        <v>8</v>
      </c>
      <c r="B70" s="5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5"/>
      <c r="S70" s="4">
        <v>63</v>
      </c>
    </row>
    <row r="71" spans="1:20">
      <c r="A71" s="18" t="s">
        <v>1</v>
      </c>
      <c r="B71" s="19">
        <f>HLOOKUP($B$7,$F$8:$Q$74,S71,FALSE)</f>
        <v>1257</v>
      </c>
      <c r="E71" s="20" t="s">
        <v>30</v>
      </c>
      <c r="F71" s="7">
        <v>313</v>
      </c>
      <c r="G71" s="7">
        <v>1010</v>
      </c>
      <c r="H71" s="7">
        <v>1165</v>
      </c>
      <c r="I71" s="7">
        <v>1257</v>
      </c>
      <c r="J71" s="7"/>
      <c r="K71" s="7"/>
      <c r="L71" s="7"/>
      <c r="M71" s="7"/>
      <c r="N71" s="7"/>
      <c r="O71" s="7"/>
      <c r="P71" s="7"/>
      <c r="Q71" s="7"/>
      <c r="R71" s="25"/>
      <c r="S71" s="4">
        <v>64</v>
      </c>
    </row>
    <row r="72" spans="1:20">
      <c r="A72" s="18" t="s">
        <v>38</v>
      </c>
      <c r="B72" s="19">
        <f>HLOOKUP($B$7,$F$8:$Q$74,S72,FALSE)</f>
        <v>765</v>
      </c>
      <c r="E72" s="20" t="s">
        <v>30</v>
      </c>
      <c r="F72" s="7">
        <v>189</v>
      </c>
      <c r="G72" s="7">
        <v>348</v>
      </c>
      <c r="H72" s="7">
        <v>554</v>
      </c>
      <c r="I72" s="7">
        <v>765</v>
      </c>
      <c r="J72" s="7"/>
      <c r="K72" s="7"/>
      <c r="L72" s="7"/>
      <c r="M72" s="7"/>
      <c r="N72" s="7"/>
      <c r="O72" s="7"/>
      <c r="P72" s="7"/>
      <c r="Q72" s="7"/>
      <c r="R72" s="25"/>
      <c r="S72" s="4">
        <v>65</v>
      </c>
    </row>
    <row r="73" spans="1:20" s="4" customFormat="1">
      <c r="A73" s="61" t="s">
        <v>32</v>
      </c>
      <c r="B73" s="59"/>
      <c r="C73" s="41"/>
      <c r="E73" s="4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5"/>
      <c r="S73" s="4">
        <v>66</v>
      </c>
    </row>
    <row r="74" spans="1:20" s="4" customFormat="1">
      <c r="A74" s="18" t="s">
        <v>33</v>
      </c>
      <c r="B74" s="19">
        <f>HLOOKUP($B$7,$F$8:$Q$74,S74,FALSE)</f>
        <v>5517</v>
      </c>
      <c r="C74" s="41"/>
      <c r="E74" s="20" t="s">
        <v>34</v>
      </c>
      <c r="F74" s="42">
        <f>F3</f>
        <v>5517</v>
      </c>
      <c r="G74" s="42">
        <f>F74</f>
        <v>5517</v>
      </c>
      <c r="H74" s="43">
        <f>G74</f>
        <v>5517</v>
      </c>
      <c r="I74" s="42">
        <f>H74</f>
        <v>5517</v>
      </c>
      <c r="J74" s="42"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5"/>
      <c r="S74" s="4">
        <v>67</v>
      </c>
    </row>
    <row r="75" spans="1:20" s="164" customFormat="1">
      <c r="A75" s="18" t="s">
        <v>146</v>
      </c>
      <c r="B75" s="19">
        <f>HLOOKUP($B$7,$F$8:$Q$75,S75,FALSE)</f>
        <v>0</v>
      </c>
      <c r="C75" s="41"/>
      <c r="D75" s="4"/>
      <c r="E75" s="20" t="s">
        <v>34</v>
      </c>
      <c r="F75" s="42">
        <v>0</v>
      </c>
      <c r="G75" s="42">
        <v>0</v>
      </c>
      <c r="H75" s="43">
        <f t="shared" ref="H75:J75" si="30">G75</f>
        <v>0</v>
      </c>
      <c r="I75" s="42">
        <f t="shared" si="30"/>
        <v>0</v>
      </c>
      <c r="J75" s="42">
        <f t="shared" si="30"/>
        <v>0</v>
      </c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5"/>
      <c r="S75" s="4">
        <v>68</v>
      </c>
      <c r="T75" s="4"/>
    </row>
    <row r="76" spans="1:20" s="4" customFormat="1" ht="9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20" s="4" customFormat="1">
      <c r="A77" s="72" t="s">
        <v>43</v>
      </c>
      <c r="B77" s="69"/>
      <c r="C77" s="41"/>
      <c r="R77" s="68"/>
    </row>
    <row r="78" spans="1:20" s="4" customFormat="1">
      <c r="A78" s="61" t="s">
        <v>31</v>
      </c>
      <c r="B78" s="12"/>
      <c r="C78" s="41"/>
      <c r="R78" s="68"/>
    </row>
    <row r="79" spans="1:20" s="4" customFormat="1">
      <c r="A79" s="84">
        <f>VLOOKUP(B7,E88:T99,2,FALSE)</f>
        <v>0</v>
      </c>
      <c r="B79" s="70"/>
      <c r="C79" s="41"/>
      <c r="R79" s="68"/>
    </row>
    <row r="80" spans="1:20" s="4" customFormat="1">
      <c r="A80" s="61" t="s">
        <v>40</v>
      </c>
      <c r="B80" s="12"/>
      <c r="C80" s="41"/>
      <c r="R80" s="68"/>
    </row>
    <row r="81" spans="1:20" s="4" customFormat="1">
      <c r="A81" s="84">
        <f>VLOOKUP(B7,E88:T99,6,FALSE)</f>
        <v>0</v>
      </c>
      <c r="B81" s="71"/>
      <c r="C81" s="41"/>
      <c r="R81" s="68"/>
    </row>
    <row r="82" spans="1:20" s="4" customFormat="1">
      <c r="A82" s="61" t="s">
        <v>44</v>
      </c>
      <c r="B82" s="12"/>
      <c r="C82" s="41"/>
      <c r="R82" s="68"/>
    </row>
    <row r="83" spans="1:20" s="4" customFormat="1" ht="15" customHeight="1">
      <c r="A83" s="84">
        <f>VLOOKUP(B7,E88:T99,10,FALSE)</f>
        <v>0</v>
      </c>
      <c r="B83" s="73"/>
      <c r="C83" s="41"/>
      <c r="R83" s="68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20">
      <c r="A86" s="7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0"/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1" t="s">
        <v>138</v>
      </c>
      <c r="S88" s="171"/>
      <c r="T88" s="171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1"/>
      <c r="S89" s="171"/>
      <c r="T89" s="171"/>
    </row>
    <row r="90" spans="1:20">
      <c r="D90" s="41"/>
      <c r="E90" s="14">
        <v>40969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 t="s">
        <v>144</v>
      </c>
      <c r="S90" s="171"/>
      <c r="T90" s="171"/>
    </row>
    <row r="91" spans="1:20">
      <c r="D91" s="41"/>
      <c r="E91" s="14">
        <v>41000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1"/>
      <c r="S91" s="171"/>
      <c r="T91" s="171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 s="3" customFormat="1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 s="3" customFormat="1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 s="3" customFormat="1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</sheetData>
  <mergeCells count="54">
    <mergeCell ref="D1:F1"/>
    <mergeCell ref="D85:G85"/>
    <mergeCell ref="F87:I87"/>
    <mergeCell ref="J87:M87"/>
    <mergeCell ref="N87:Q87"/>
    <mergeCell ref="R87:T87"/>
    <mergeCell ref="F88:I88"/>
    <mergeCell ref="J88:M88"/>
    <mergeCell ref="N88:Q88"/>
    <mergeCell ref="R88:T88"/>
    <mergeCell ref="F89:I89"/>
    <mergeCell ref="J89:M89"/>
    <mergeCell ref="N89:Q89"/>
    <mergeCell ref="R89:T89"/>
    <mergeCell ref="F90:I90"/>
    <mergeCell ref="J90:M90"/>
    <mergeCell ref="N90:Q90"/>
    <mergeCell ref="R90:T90"/>
    <mergeCell ref="F91:I91"/>
    <mergeCell ref="J91:M91"/>
    <mergeCell ref="N91:Q91"/>
    <mergeCell ref="R91:T91"/>
    <mergeCell ref="F92:I92"/>
    <mergeCell ref="J92:M92"/>
    <mergeCell ref="N92:Q92"/>
    <mergeCell ref="R92:T92"/>
    <mergeCell ref="F93:I93"/>
    <mergeCell ref="J93:M93"/>
    <mergeCell ref="N93:Q93"/>
    <mergeCell ref="R93:T93"/>
    <mergeCell ref="F94:I94"/>
    <mergeCell ref="J94:M94"/>
    <mergeCell ref="N94:Q94"/>
    <mergeCell ref="R94:T94"/>
    <mergeCell ref="F95:I95"/>
    <mergeCell ref="J95:M95"/>
    <mergeCell ref="N95:Q95"/>
    <mergeCell ref="R95:T95"/>
    <mergeCell ref="F96:I96"/>
    <mergeCell ref="J96:M96"/>
    <mergeCell ref="N96:Q96"/>
    <mergeCell ref="R96:T96"/>
    <mergeCell ref="F99:I99"/>
    <mergeCell ref="J99:M99"/>
    <mergeCell ref="N99:Q99"/>
    <mergeCell ref="R99:T99"/>
    <mergeCell ref="F97:I97"/>
    <mergeCell ref="J97:M97"/>
    <mergeCell ref="N97:Q97"/>
    <mergeCell ref="R97:T97"/>
    <mergeCell ref="F98:I98"/>
    <mergeCell ref="J98:M98"/>
    <mergeCell ref="N98:Q98"/>
    <mergeCell ref="R98:T98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99"/>
  <sheetViews>
    <sheetView topLeftCell="A41" zoomScaleNormal="100" workbookViewId="0">
      <pane xSplit="1" topLeftCell="B1" activePane="topRight" state="frozen"/>
      <selection activeCell="E8" sqref="E8"/>
      <selection pane="topRight" activeCell="I72" sqref="I72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17" width="15.7109375" style="3" customWidth="1"/>
    <col min="18" max="18" width="15.7109375" style="63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08" t="s">
        <v>126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110</v>
      </c>
      <c r="C3" s="6"/>
      <c r="E3" s="111" t="s">
        <v>114</v>
      </c>
      <c r="F3" s="109">
        <v>13177</v>
      </c>
      <c r="G3" s="109">
        <v>13177</v>
      </c>
      <c r="H3" s="109">
        <v>13177</v>
      </c>
      <c r="I3" s="109">
        <v>13177</v>
      </c>
    </row>
    <row r="4" spans="1:19">
      <c r="A4" s="1" t="s">
        <v>9</v>
      </c>
      <c r="B4" s="113">
        <v>40841</v>
      </c>
      <c r="C4" s="8"/>
      <c r="E4" s="111" t="s">
        <v>74</v>
      </c>
      <c r="F4" s="110">
        <v>4545571</v>
      </c>
      <c r="G4" s="110">
        <v>4545571</v>
      </c>
      <c r="H4" s="110">
        <v>4545571</v>
      </c>
      <c r="I4" s="110">
        <v>4545571</v>
      </c>
      <c r="J4" s="10"/>
      <c r="K4" s="10"/>
      <c r="L4" s="10"/>
      <c r="M4" s="10"/>
      <c r="N4" s="10"/>
      <c r="O4" s="10"/>
      <c r="P4" s="10"/>
      <c r="Q4" s="10"/>
      <c r="R4" s="116"/>
    </row>
    <row r="5" spans="1:19">
      <c r="A5" s="46" t="s">
        <v>10</v>
      </c>
      <c r="B5" s="114">
        <v>40242</v>
      </c>
      <c r="C5" s="8"/>
      <c r="E5" s="111" t="s">
        <v>93</v>
      </c>
      <c r="F5" s="1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6"/>
    </row>
    <row r="6" spans="1:19">
      <c r="A6" s="1" t="s">
        <v>99</v>
      </c>
      <c r="B6" s="113">
        <v>40909</v>
      </c>
      <c r="C6" s="8"/>
      <c r="E6" s="5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6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6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4">
        <v>3</v>
      </c>
    </row>
    <row r="11" spans="1:19">
      <c r="A11" s="18" t="s">
        <v>22</v>
      </c>
      <c r="B11" s="19">
        <f>HLOOKUP($B$7,$F$8:$Q$74,S11,FALSE)</f>
        <v>561.0299399999958</v>
      </c>
      <c r="E11" s="20" t="s">
        <v>28</v>
      </c>
      <c r="F11" s="7">
        <f>199880.55/1000</f>
        <v>199.88055</v>
      </c>
      <c r="G11" s="7">
        <v>385.85034000000076</v>
      </c>
      <c r="H11" s="7">
        <v>452.10473999999999</v>
      </c>
      <c r="I11" s="7">
        <v>561.0299399999958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1598.8655699999965</v>
      </c>
      <c r="S11" s="4">
        <v>4</v>
      </c>
    </row>
    <row r="12" spans="1:19">
      <c r="A12" s="18" t="s">
        <v>109</v>
      </c>
      <c r="B12" s="75">
        <f>HLOOKUP($B$7,$F$8:$Q$74,S12,FALSE)</f>
        <v>3.2087800000001762E-2</v>
      </c>
      <c r="E12" s="20" t="s">
        <v>28</v>
      </c>
      <c r="F12" s="81">
        <v>1.0728000000000005E-2</v>
      </c>
      <c r="G12" s="81">
        <v>2.3939999999999923E-2</v>
      </c>
      <c r="H12" s="81">
        <v>2.6272800000000106E-2</v>
      </c>
      <c r="I12" s="81">
        <v>3.2087800000001762E-2</v>
      </c>
      <c r="J12" s="81"/>
      <c r="K12" s="81"/>
      <c r="L12" s="81"/>
      <c r="M12" s="81"/>
      <c r="N12" s="81"/>
      <c r="O12" s="81"/>
      <c r="P12" s="81"/>
      <c r="Q12" s="81"/>
      <c r="R12" s="80">
        <f>SUM(F12:Q12)</f>
        <v>9.3028600000001793E-2</v>
      </c>
      <c r="S12" s="4">
        <v>5</v>
      </c>
    </row>
    <row r="13" spans="1:19">
      <c r="A13" s="18" t="s">
        <v>23</v>
      </c>
      <c r="B13" s="19">
        <f>HLOOKUP($B$7,$F$8:$Q$74,S13,FALSE)</f>
        <v>0</v>
      </c>
      <c r="E13" s="20" t="s">
        <v>28</v>
      </c>
      <c r="F13" s="7">
        <v>0</v>
      </c>
      <c r="G13" s="7">
        <v>0</v>
      </c>
      <c r="H13" s="7">
        <v>0</v>
      </c>
      <c r="I13" s="7">
        <v>0</v>
      </c>
      <c r="J13" s="7"/>
      <c r="K13" s="7"/>
      <c r="L13" s="7"/>
      <c r="M13" s="7"/>
      <c r="N13" s="7"/>
      <c r="O13" s="7"/>
      <c r="P13" s="7"/>
      <c r="Q13" s="7"/>
      <c r="R13" s="24">
        <f>SUM(F13:Q13)</f>
        <v>0</v>
      </c>
      <c r="S13" s="4">
        <v>6</v>
      </c>
    </row>
    <row r="14" spans="1:19">
      <c r="A14" s="61" t="s">
        <v>88</v>
      </c>
      <c r="B14" s="59"/>
      <c r="E14" s="5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  <c r="S14" s="4">
        <v>7</v>
      </c>
    </row>
    <row r="15" spans="1:19">
      <c r="A15" s="1" t="s">
        <v>87</v>
      </c>
      <c r="B15" s="23">
        <f t="shared" ref="B15:B22" si="0">HLOOKUP($B$7,$F$8:$Q$74,S15,FALSE)</f>
        <v>13177</v>
      </c>
      <c r="E15" s="5"/>
      <c r="F15" s="24">
        <f t="shared" ref="F15:Q15" si="1">$F$3</f>
        <v>13177</v>
      </c>
      <c r="G15" s="24">
        <f t="shared" si="1"/>
        <v>13177</v>
      </c>
      <c r="H15" s="24">
        <f t="shared" si="1"/>
        <v>13177</v>
      </c>
      <c r="I15" s="24">
        <f t="shared" si="1"/>
        <v>13177</v>
      </c>
      <c r="J15" s="24">
        <f t="shared" si="1"/>
        <v>13177</v>
      </c>
      <c r="K15" s="24">
        <f t="shared" si="1"/>
        <v>13177</v>
      </c>
      <c r="L15" s="24">
        <f t="shared" si="1"/>
        <v>13177</v>
      </c>
      <c r="M15" s="24">
        <f t="shared" si="1"/>
        <v>13177</v>
      </c>
      <c r="N15" s="24">
        <f t="shared" si="1"/>
        <v>13177</v>
      </c>
      <c r="O15" s="24">
        <f t="shared" si="1"/>
        <v>13177</v>
      </c>
      <c r="P15" s="24">
        <f t="shared" si="1"/>
        <v>13177</v>
      </c>
      <c r="Q15" s="24">
        <f t="shared" si="1"/>
        <v>13177</v>
      </c>
      <c r="R15" s="25"/>
      <c r="S15" s="4">
        <v>8</v>
      </c>
    </row>
    <row r="16" spans="1:19">
      <c r="A16" s="1" t="s">
        <v>89</v>
      </c>
      <c r="B16" s="23">
        <f t="shared" si="0"/>
        <v>4392.333333333333</v>
      </c>
      <c r="E16" s="5"/>
      <c r="F16" s="24">
        <f t="shared" ref="F16:Q16" si="2">F15*(F9/12)</f>
        <v>1098.0833333333333</v>
      </c>
      <c r="G16" s="24">
        <f t="shared" si="2"/>
        <v>2196.1666666666665</v>
      </c>
      <c r="H16" s="24">
        <f t="shared" si="2"/>
        <v>3294.25</v>
      </c>
      <c r="I16" s="24">
        <f t="shared" si="2"/>
        <v>4392.333333333333</v>
      </c>
      <c r="J16" s="24">
        <f t="shared" si="2"/>
        <v>5490.416666666667</v>
      </c>
      <c r="K16" s="24">
        <f t="shared" si="2"/>
        <v>6588.5</v>
      </c>
      <c r="L16" s="24">
        <f t="shared" si="2"/>
        <v>7686.5833333333339</v>
      </c>
      <c r="M16" s="24">
        <f t="shared" si="2"/>
        <v>8784.6666666666661</v>
      </c>
      <c r="N16" s="24">
        <f t="shared" si="2"/>
        <v>9882.75</v>
      </c>
      <c r="O16" s="24">
        <f t="shared" si="2"/>
        <v>10980.833333333334</v>
      </c>
      <c r="P16" s="24">
        <f t="shared" si="2"/>
        <v>12078.916666666666</v>
      </c>
      <c r="Q16" s="24">
        <f t="shared" si="2"/>
        <v>13177</v>
      </c>
      <c r="R16" s="25"/>
      <c r="S16" s="4">
        <v>9</v>
      </c>
    </row>
    <row r="17" spans="1:19">
      <c r="A17" s="86" t="s">
        <v>82</v>
      </c>
      <c r="B17" s="19">
        <f t="shared" si="0"/>
        <v>1598.8655699999965</v>
      </c>
      <c r="E17" s="5"/>
      <c r="F17" s="21">
        <f>F11</f>
        <v>199.88055</v>
      </c>
      <c r="G17" s="21">
        <f t="shared" ref="G17:Q17" si="3">F17+G11</f>
        <v>585.73089000000073</v>
      </c>
      <c r="H17" s="21">
        <f t="shared" si="3"/>
        <v>1037.8356300000007</v>
      </c>
      <c r="I17" s="21">
        <f t="shared" si="3"/>
        <v>1598.8655699999965</v>
      </c>
      <c r="J17" s="21">
        <f t="shared" si="3"/>
        <v>1598.8655699999965</v>
      </c>
      <c r="K17" s="21">
        <f t="shared" si="3"/>
        <v>1598.8655699999965</v>
      </c>
      <c r="L17" s="21">
        <f t="shared" si="3"/>
        <v>1598.8655699999965</v>
      </c>
      <c r="M17" s="21">
        <f t="shared" si="3"/>
        <v>1598.8655699999965</v>
      </c>
      <c r="N17" s="21">
        <f t="shared" si="3"/>
        <v>1598.8655699999965</v>
      </c>
      <c r="O17" s="21">
        <f t="shared" si="3"/>
        <v>1598.8655699999965</v>
      </c>
      <c r="P17" s="21">
        <f t="shared" si="3"/>
        <v>1598.8655699999965</v>
      </c>
      <c r="Q17" s="21">
        <f t="shared" si="3"/>
        <v>1598.8655699999965</v>
      </c>
      <c r="R17" s="65"/>
      <c r="S17" s="4">
        <v>10</v>
      </c>
    </row>
    <row r="18" spans="1:19">
      <c r="A18" s="86" t="s">
        <v>14</v>
      </c>
      <c r="B18" s="19">
        <f t="shared" si="0"/>
        <v>140.64119999999994</v>
      </c>
      <c r="E18" s="20" t="s">
        <v>30</v>
      </c>
      <c r="F18" s="7">
        <v>0</v>
      </c>
      <c r="G18" s="7">
        <v>258.10461000000004</v>
      </c>
      <c r="H18" s="7">
        <v>196.46909999999994</v>
      </c>
      <c r="I18" s="7">
        <v>140.64119999999994</v>
      </c>
      <c r="J18" s="7"/>
      <c r="K18" s="7"/>
      <c r="L18" s="7"/>
      <c r="M18" s="7"/>
      <c r="N18" s="7"/>
      <c r="O18" s="7"/>
      <c r="P18" s="7"/>
      <c r="Q18" s="7"/>
      <c r="R18" s="65"/>
      <c r="S18" s="4">
        <v>11</v>
      </c>
    </row>
    <row r="19" spans="1:19">
      <c r="A19" s="87" t="s">
        <v>47</v>
      </c>
      <c r="B19" s="51">
        <f t="shared" si="0"/>
        <v>1739.5067699999965</v>
      </c>
      <c r="C19" s="92"/>
      <c r="D19" s="92"/>
      <c r="E19" s="92"/>
      <c r="F19" s="26">
        <f t="shared" ref="F19:Q19" si="4">F17+F18</f>
        <v>199.88055</v>
      </c>
      <c r="G19" s="26">
        <f t="shared" si="4"/>
        <v>843.83550000000082</v>
      </c>
      <c r="H19" s="26">
        <f t="shared" si="4"/>
        <v>1234.3047300000007</v>
      </c>
      <c r="I19" s="26">
        <f t="shared" si="4"/>
        <v>1739.5067699999965</v>
      </c>
      <c r="J19" s="26">
        <f t="shared" si="4"/>
        <v>1598.8655699999965</v>
      </c>
      <c r="K19" s="26">
        <f t="shared" si="4"/>
        <v>1598.8655699999965</v>
      </c>
      <c r="L19" s="26">
        <f t="shared" si="4"/>
        <v>1598.8655699999965</v>
      </c>
      <c r="M19" s="26">
        <f t="shared" si="4"/>
        <v>1598.8655699999965</v>
      </c>
      <c r="N19" s="26">
        <f t="shared" si="4"/>
        <v>1598.8655699999965</v>
      </c>
      <c r="O19" s="26">
        <f t="shared" si="4"/>
        <v>1598.8655699999965</v>
      </c>
      <c r="P19" s="26">
        <f t="shared" si="4"/>
        <v>1598.8655699999965</v>
      </c>
      <c r="Q19" s="26">
        <f t="shared" si="4"/>
        <v>1598.8655699999965</v>
      </c>
      <c r="R19" s="25"/>
      <c r="S19" s="4">
        <v>12</v>
      </c>
    </row>
    <row r="20" spans="1:19">
      <c r="A20" s="86" t="s">
        <v>24</v>
      </c>
      <c r="B20" s="88">
        <f t="shared" si="0"/>
        <v>0.1213376011231689</v>
      </c>
      <c r="F20" s="88">
        <f t="shared" ref="F20:Q20" si="5">F17/F15</f>
        <v>1.5168896562191697E-2</v>
      </c>
      <c r="G20" s="88">
        <f t="shared" si="5"/>
        <v>4.4451004781057957E-2</v>
      </c>
      <c r="H20" s="88">
        <f t="shared" si="5"/>
        <v>7.876114669499891E-2</v>
      </c>
      <c r="I20" s="88">
        <f t="shared" si="5"/>
        <v>0.1213376011231689</v>
      </c>
      <c r="J20" s="88">
        <f t="shared" si="5"/>
        <v>0.1213376011231689</v>
      </c>
      <c r="K20" s="88">
        <f t="shared" si="5"/>
        <v>0.1213376011231689</v>
      </c>
      <c r="L20" s="88">
        <f t="shared" si="5"/>
        <v>0.1213376011231689</v>
      </c>
      <c r="M20" s="88">
        <f t="shared" si="5"/>
        <v>0.1213376011231689</v>
      </c>
      <c r="N20" s="88">
        <f t="shared" si="5"/>
        <v>0.1213376011231689</v>
      </c>
      <c r="O20" s="88">
        <f t="shared" si="5"/>
        <v>0.1213376011231689</v>
      </c>
      <c r="P20" s="88">
        <f t="shared" si="5"/>
        <v>0.1213376011231689</v>
      </c>
      <c r="Q20" s="88">
        <f t="shared" si="5"/>
        <v>0.1213376011231689</v>
      </c>
      <c r="R20" s="97"/>
      <c r="S20" s="4">
        <v>13</v>
      </c>
    </row>
    <row r="21" spans="1:19">
      <c r="A21" s="86" t="s">
        <v>48</v>
      </c>
      <c r="B21" s="88">
        <f t="shared" si="0"/>
        <v>0.13201083478788772</v>
      </c>
      <c r="F21" s="88">
        <f t="shared" ref="F21:Q21" si="6">F19/F15</f>
        <v>1.5168896562191697E-2</v>
      </c>
      <c r="G21" s="88">
        <f t="shared" si="6"/>
        <v>6.403851407755945E-2</v>
      </c>
      <c r="H21" s="88">
        <f t="shared" si="6"/>
        <v>9.3671148971693152E-2</v>
      </c>
      <c r="I21" s="88">
        <f t="shared" si="6"/>
        <v>0.13201083478788772</v>
      </c>
      <c r="J21" s="88">
        <f t="shared" si="6"/>
        <v>0.1213376011231689</v>
      </c>
      <c r="K21" s="88">
        <f t="shared" si="6"/>
        <v>0.1213376011231689</v>
      </c>
      <c r="L21" s="88">
        <f t="shared" si="6"/>
        <v>0.1213376011231689</v>
      </c>
      <c r="M21" s="88">
        <f t="shared" si="6"/>
        <v>0.1213376011231689</v>
      </c>
      <c r="N21" s="88">
        <f t="shared" si="6"/>
        <v>0.1213376011231689</v>
      </c>
      <c r="O21" s="88">
        <f t="shared" si="6"/>
        <v>0.1213376011231689</v>
      </c>
      <c r="P21" s="88">
        <f t="shared" si="6"/>
        <v>0.1213376011231689</v>
      </c>
      <c r="Q21" s="88">
        <f t="shared" si="6"/>
        <v>0.1213376011231689</v>
      </c>
      <c r="R21" s="97"/>
      <c r="S21" s="4">
        <v>14</v>
      </c>
    </row>
    <row r="22" spans="1:19">
      <c r="A22" s="86" t="s">
        <v>25</v>
      </c>
      <c r="B22" s="88">
        <f t="shared" si="0"/>
        <v>0.3640128033695067</v>
      </c>
      <c r="F22" s="88">
        <f t="shared" ref="F22:Q22" si="7">F17/F16</f>
        <v>0.18202675874630039</v>
      </c>
      <c r="G22" s="88">
        <f t="shared" si="7"/>
        <v>0.2667060286863478</v>
      </c>
      <c r="H22" s="88">
        <f t="shared" si="7"/>
        <v>0.31504458677999564</v>
      </c>
      <c r="I22" s="88">
        <f t="shared" si="7"/>
        <v>0.3640128033695067</v>
      </c>
      <c r="J22" s="88">
        <f t="shared" si="7"/>
        <v>0.2912102426956053</v>
      </c>
      <c r="K22" s="88">
        <f t="shared" si="7"/>
        <v>0.24267520224633779</v>
      </c>
      <c r="L22" s="88">
        <f t="shared" si="7"/>
        <v>0.20800731621114665</v>
      </c>
      <c r="M22" s="88">
        <f t="shared" si="7"/>
        <v>0.18200640168475335</v>
      </c>
      <c r="N22" s="88">
        <f t="shared" si="7"/>
        <v>0.1617834681642252</v>
      </c>
      <c r="O22" s="88">
        <f t="shared" si="7"/>
        <v>0.14560512134780265</v>
      </c>
      <c r="P22" s="88">
        <f t="shared" si="7"/>
        <v>0.13236829213436607</v>
      </c>
      <c r="Q22" s="88">
        <f t="shared" si="7"/>
        <v>0.1213376011231689</v>
      </c>
      <c r="R22" s="97"/>
      <c r="S22" s="4">
        <v>15</v>
      </c>
    </row>
    <row r="23" spans="1:19">
      <c r="A23" s="61" t="s">
        <v>90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5"/>
      <c r="S23" s="4">
        <v>16</v>
      </c>
    </row>
    <row r="24" spans="1:19">
      <c r="A24" s="86" t="s">
        <v>83</v>
      </c>
      <c r="B24" s="75">
        <f>HLOOKUP($B$7,$F$8:$Q$74,S24,FALSE)</f>
        <v>9.3028600000001793E-2</v>
      </c>
      <c r="E24" s="76"/>
      <c r="F24" s="75">
        <f>F12</f>
        <v>1.0728000000000005E-2</v>
      </c>
      <c r="G24" s="75">
        <f t="shared" ref="G24:Q24" si="8">F24+G12</f>
        <v>3.4667999999999928E-2</v>
      </c>
      <c r="H24" s="75">
        <f t="shared" si="8"/>
        <v>6.0940800000000031E-2</v>
      </c>
      <c r="I24" s="75">
        <f t="shared" si="8"/>
        <v>9.3028600000001793E-2</v>
      </c>
      <c r="J24" s="75">
        <f t="shared" si="8"/>
        <v>9.3028600000001793E-2</v>
      </c>
      <c r="K24" s="75">
        <f t="shared" si="8"/>
        <v>9.3028600000001793E-2</v>
      </c>
      <c r="L24" s="75">
        <f t="shared" si="8"/>
        <v>9.3028600000001793E-2</v>
      </c>
      <c r="M24" s="75">
        <f t="shared" si="8"/>
        <v>9.3028600000001793E-2</v>
      </c>
      <c r="N24" s="75">
        <f t="shared" si="8"/>
        <v>9.3028600000001793E-2</v>
      </c>
      <c r="O24" s="75">
        <f t="shared" si="8"/>
        <v>9.3028600000001793E-2</v>
      </c>
      <c r="P24" s="75">
        <f t="shared" si="8"/>
        <v>9.3028600000001793E-2</v>
      </c>
      <c r="Q24" s="75">
        <f t="shared" si="8"/>
        <v>9.3028600000001793E-2</v>
      </c>
      <c r="R24" s="25"/>
      <c r="S24" s="4">
        <v>17</v>
      </c>
    </row>
    <row r="25" spans="1:19">
      <c r="A25" s="86" t="s">
        <v>15</v>
      </c>
      <c r="B25" s="75">
        <f>HLOOKUP($B$7,$F$8:$Q$74,S25,FALSE)</f>
        <v>1.0139399999999988E-2</v>
      </c>
      <c r="E25" s="20" t="s">
        <v>30</v>
      </c>
      <c r="F25" s="81">
        <v>0</v>
      </c>
      <c r="G25" s="81">
        <v>1.3715999999999964E-2</v>
      </c>
      <c r="H25" s="81">
        <v>1.1689199999999973E-2</v>
      </c>
      <c r="I25" s="81">
        <v>1.0139399999999988E-2</v>
      </c>
      <c r="J25" s="81"/>
      <c r="K25" s="81"/>
      <c r="L25" s="81"/>
      <c r="M25" s="81"/>
      <c r="N25" s="81"/>
      <c r="O25" s="81"/>
      <c r="P25" s="81"/>
      <c r="Q25" s="81"/>
      <c r="R25" s="25"/>
      <c r="S25" s="4">
        <v>18</v>
      </c>
    </row>
    <row r="26" spans="1:19">
      <c r="A26" s="89" t="s">
        <v>26</v>
      </c>
      <c r="B26" s="83">
        <f>HLOOKUP($B$7,$F$8:$Q$74,S26,FALSE)</f>
        <v>0.10316800000000179</v>
      </c>
      <c r="C26" s="92"/>
      <c r="D26" s="92"/>
      <c r="E26" s="99"/>
      <c r="F26" s="83">
        <f t="shared" ref="F26:Q26" si="9">F24+F25</f>
        <v>1.0728000000000005E-2</v>
      </c>
      <c r="G26" s="83">
        <f t="shared" si="9"/>
        <v>4.8383999999999892E-2</v>
      </c>
      <c r="H26" s="83">
        <f t="shared" si="9"/>
        <v>7.263E-2</v>
      </c>
      <c r="I26" s="83">
        <f t="shared" si="9"/>
        <v>0.10316800000000179</v>
      </c>
      <c r="J26" s="83">
        <f t="shared" si="9"/>
        <v>9.3028600000001793E-2</v>
      </c>
      <c r="K26" s="83">
        <f t="shared" si="9"/>
        <v>9.3028600000001793E-2</v>
      </c>
      <c r="L26" s="83">
        <f t="shared" si="9"/>
        <v>9.3028600000001793E-2</v>
      </c>
      <c r="M26" s="83">
        <f t="shared" si="9"/>
        <v>9.3028600000001793E-2</v>
      </c>
      <c r="N26" s="83">
        <f t="shared" si="9"/>
        <v>9.3028600000001793E-2</v>
      </c>
      <c r="O26" s="83">
        <f t="shared" si="9"/>
        <v>9.3028600000001793E-2</v>
      </c>
      <c r="P26" s="83">
        <f t="shared" si="9"/>
        <v>9.3028600000001793E-2</v>
      </c>
      <c r="Q26" s="83">
        <f t="shared" si="9"/>
        <v>9.3028600000001793E-2</v>
      </c>
      <c r="R26" s="25"/>
      <c r="S26" s="4">
        <v>19</v>
      </c>
    </row>
    <row r="27" spans="1:19">
      <c r="A27" s="61" t="s">
        <v>91</v>
      </c>
      <c r="B27" s="5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  <c r="S27" s="4">
        <v>20</v>
      </c>
    </row>
    <row r="28" spans="1:19">
      <c r="A28" s="86" t="s">
        <v>79</v>
      </c>
      <c r="B28" s="19">
        <f>HLOOKUP($B$7,$F$8:$Q$74,S28,FALSE)</f>
        <v>0</v>
      </c>
      <c r="F28" s="29">
        <f>F13</f>
        <v>0</v>
      </c>
      <c r="G28" s="29">
        <f t="shared" ref="G28:Q28" si="10">F28+G13</f>
        <v>0</v>
      </c>
      <c r="H28" s="29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10"/>
        <v>0</v>
      </c>
      <c r="O28" s="29">
        <f t="shared" si="10"/>
        <v>0</v>
      </c>
      <c r="P28" s="29">
        <f t="shared" si="10"/>
        <v>0</v>
      </c>
      <c r="Q28" s="29">
        <f t="shared" si="10"/>
        <v>0</v>
      </c>
      <c r="R28" s="64"/>
      <c r="S28" s="4">
        <v>21</v>
      </c>
    </row>
    <row r="29" spans="1:19">
      <c r="A29" s="86" t="s">
        <v>11</v>
      </c>
      <c r="B29" s="19">
        <f>HLOOKUP($B$7,$F$8:$Q$74,S29,FALSE)</f>
        <v>0</v>
      </c>
      <c r="E29" s="20" t="s">
        <v>30</v>
      </c>
      <c r="F29" s="7">
        <v>0</v>
      </c>
      <c r="G29" s="7">
        <v>0</v>
      </c>
      <c r="H29" s="7">
        <v>0</v>
      </c>
      <c r="I29" s="7">
        <v>0</v>
      </c>
      <c r="J29" s="7"/>
      <c r="K29" s="7"/>
      <c r="L29" s="7"/>
      <c r="M29" s="7"/>
      <c r="N29" s="7"/>
      <c r="O29" s="7"/>
      <c r="P29" s="7"/>
      <c r="Q29" s="7"/>
      <c r="R29" s="64"/>
      <c r="S29" s="4">
        <v>22</v>
      </c>
    </row>
    <row r="30" spans="1:19">
      <c r="A30" s="89" t="s">
        <v>45</v>
      </c>
      <c r="B30" s="51">
        <f>HLOOKUP($B$7,$F$8:$Q$74,S30,FALSE)</f>
        <v>0</v>
      </c>
      <c r="C30" s="92"/>
      <c r="D30" s="92"/>
      <c r="E30" s="92"/>
      <c r="F30" s="95">
        <f t="shared" ref="F30:Q30" si="11">F28+F29</f>
        <v>0</v>
      </c>
      <c r="G30" s="95">
        <f t="shared" si="11"/>
        <v>0</v>
      </c>
      <c r="H30" s="95">
        <f t="shared" si="11"/>
        <v>0</v>
      </c>
      <c r="I30" s="95">
        <f t="shared" si="11"/>
        <v>0</v>
      </c>
      <c r="J30" s="95">
        <f t="shared" si="11"/>
        <v>0</v>
      </c>
      <c r="K30" s="95">
        <f t="shared" si="11"/>
        <v>0</v>
      </c>
      <c r="L30" s="95">
        <f t="shared" si="11"/>
        <v>0</v>
      </c>
      <c r="M30" s="95">
        <f t="shared" si="11"/>
        <v>0</v>
      </c>
      <c r="N30" s="95">
        <f t="shared" si="11"/>
        <v>0</v>
      </c>
      <c r="O30" s="95">
        <f t="shared" si="11"/>
        <v>0</v>
      </c>
      <c r="P30" s="95">
        <f t="shared" si="11"/>
        <v>0</v>
      </c>
      <c r="Q30" s="95">
        <f t="shared" si="11"/>
        <v>0</v>
      </c>
      <c r="R30" s="64"/>
      <c r="S30" s="4">
        <v>23</v>
      </c>
    </row>
    <row r="31" spans="1:19">
      <c r="A31" s="61" t="s">
        <v>59</v>
      </c>
      <c r="B31" s="5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  <c r="S31" s="4">
        <v>24</v>
      </c>
    </row>
    <row r="32" spans="1:19">
      <c r="A32" s="90" t="s">
        <v>50</v>
      </c>
      <c r="B32" s="49">
        <f t="shared" ref="B32:B40" si="12">HLOOKUP($B$7,$F$8:$Q$74,S32,FALSE)</f>
        <v>10510.79</v>
      </c>
      <c r="E32" s="20" t="s">
        <v>28</v>
      </c>
      <c r="F32" s="9">
        <v>2163.5499999999997</v>
      </c>
      <c r="G32" s="9">
        <v>18067.789999999997</v>
      </c>
      <c r="H32" s="9">
        <v>6694.11</v>
      </c>
      <c r="I32" s="9">
        <v>10510.79</v>
      </c>
      <c r="J32" s="9"/>
      <c r="K32" s="9"/>
      <c r="L32" s="9"/>
      <c r="M32" s="9"/>
      <c r="N32" s="9"/>
      <c r="O32" s="9"/>
      <c r="P32" s="9"/>
      <c r="Q32" s="9"/>
      <c r="R32" s="85">
        <f t="shared" ref="R32:R38" si="13">SUM(F32:Q32)</f>
        <v>37436.239999999998</v>
      </c>
      <c r="S32" s="4">
        <v>25</v>
      </c>
    </row>
    <row r="33" spans="1:19">
      <c r="A33" s="90" t="s">
        <v>51</v>
      </c>
      <c r="B33" s="49">
        <f t="shared" si="12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si="13"/>
        <v>0</v>
      </c>
      <c r="S33" s="4">
        <v>26</v>
      </c>
    </row>
    <row r="34" spans="1:19">
      <c r="A34" s="90" t="s">
        <v>52</v>
      </c>
      <c r="B34" s="49">
        <f t="shared" si="12"/>
        <v>8577.07</v>
      </c>
      <c r="E34" s="20" t="s">
        <v>28</v>
      </c>
      <c r="F34" s="9">
        <v>0</v>
      </c>
      <c r="G34" s="9">
        <v>0</v>
      </c>
      <c r="H34" s="9">
        <v>0</v>
      </c>
      <c r="I34" s="9">
        <v>8577.07</v>
      </c>
      <c r="J34" s="9"/>
      <c r="K34" s="9"/>
      <c r="L34" s="9"/>
      <c r="M34" s="9"/>
      <c r="N34" s="9"/>
      <c r="O34" s="9"/>
      <c r="P34" s="9"/>
      <c r="Q34" s="9"/>
      <c r="R34" s="85">
        <f t="shared" si="13"/>
        <v>8577.07</v>
      </c>
      <c r="S34" s="4">
        <v>27</v>
      </c>
    </row>
    <row r="35" spans="1:19">
      <c r="A35" s="90" t="s">
        <v>53</v>
      </c>
      <c r="B35" s="49">
        <f t="shared" si="12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3"/>
        <v>0</v>
      </c>
      <c r="S35" s="4">
        <v>28</v>
      </c>
    </row>
    <row r="36" spans="1:19">
      <c r="A36" s="90" t="s">
        <v>54</v>
      </c>
      <c r="B36" s="49">
        <f t="shared" si="12"/>
        <v>20180</v>
      </c>
      <c r="E36" s="20" t="s">
        <v>28</v>
      </c>
      <c r="F36" s="9">
        <v>0</v>
      </c>
      <c r="G36" s="9">
        <v>14030</v>
      </c>
      <c r="H36" s="9">
        <v>16230</v>
      </c>
      <c r="I36" s="9">
        <v>20180</v>
      </c>
      <c r="J36" s="9"/>
      <c r="K36" s="9"/>
      <c r="L36" s="9"/>
      <c r="M36" s="9"/>
      <c r="N36" s="9"/>
      <c r="O36" s="9"/>
      <c r="P36" s="9"/>
      <c r="Q36" s="9"/>
      <c r="R36" s="85">
        <f t="shared" si="13"/>
        <v>50440</v>
      </c>
      <c r="S36" s="4">
        <v>29</v>
      </c>
    </row>
    <row r="37" spans="1:19">
      <c r="A37" s="90" t="s">
        <v>55</v>
      </c>
      <c r="B37" s="49">
        <f t="shared" si="12"/>
        <v>37900.21</v>
      </c>
      <c r="E37" s="20" t="s">
        <v>28</v>
      </c>
      <c r="F37" s="9">
        <v>0</v>
      </c>
      <c r="G37" s="9">
        <v>2459.96</v>
      </c>
      <c r="H37" s="9">
        <v>47451.06</v>
      </c>
      <c r="I37" s="9">
        <v>37900.21</v>
      </c>
      <c r="J37" s="9"/>
      <c r="K37" s="9"/>
      <c r="L37" s="9"/>
      <c r="M37" s="9"/>
      <c r="N37" s="9"/>
      <c r="O37" s="9"/>
      <c r="P37" s="9"/>
      <c r="Q37" s="9"/>
      <c r="R37" s="85">
        <f t="shared" si="13"/>
        <v>87811.23</v>
      </c>
      <c r="S37" s="4">
        <v>30</v>
      </c>
    </row>
    <row r="38" spans="1:19">
      <c r="A38" s="90" t="s">
        <v>56</v>
      </c>
      <c r="B38" s="49">
        <f t="shared" si="12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 t="shared" si="13"/>
        <v>0</v>
      </c>
      <c r="S38" s="4">
        <v>31</v>
      </c>
    </row>
    <row r="39" spans="1:19">
      <c r="A39" s="90" t="s">
        <v>95</v>
      </c>
      <c r="B39" s="49">
        <f t="shared" si="12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/>
      <c r="S39" s="4">
        <v>32</v>
      </c>
    </row>
    <row r="40" spans="1:19">
      <c r="A40" s="89" t="s">
        <v>60</v>
      </c>
      <c r="B40" s="35">
        <f t="shared" si="12"/>
        <v>77168.070000000007</v>
      </c>
      <c r="C40" s="92"/>
      <c r="D40" s="92"/>
      <c r="E40" s="92"/>
      <c r="F40" s="96">
        <f t="shared" ref="F40:Q40" si="14">SUM(F32:F39)</f>
        <v>2163.5499999999997</v>
      </c>
      <c r="G40" s="96">
        <f t="shared" si="14"/>
        <v>34557.75</v>
      </c>
      <c r="H40" s="96">
        <f t="shared" si="14"/>
        <v>70375.17</v>
      </c>
      <c r="I40" s="96">
        <f t="shared" si="14"/>
        <v>77168.070000000007</v>
      </c>
      <c r="J40" s="96">
        <f t="shared" si="14"/>
        <v>0</v>
      </c>
      <c r="K40" s="96">
        <f t="shared" si="14"/>
        <v>0</v>
      </c>
      <c r="L40" s="96">
        <f t="shared" si="14"/>
        <v>0</v>
      </c>
      <c r="M40" s="96">
        <f t="shared" si="14"/>
        <v>0</v>
      </c>
      <c r="N40" s="96">
        <f t="shared" si="14"/>
        <v>0</v>
      </c>
      <c r="O40" s="96">
        <f t="shared" si="14"/>
        <v>0</v>
      </c>
      <c r="P40" s="96">
        <f t="shared" si="14"/>
        <v>0</v>
      </c>
      <c r="Q40" s="96">
        <f t="shared" si="14"/>
        <v>0</v>
      </c>
      <c r="R40" s="66">
        <f>SUM(F40:Q40)</f>
        <v>184264.54</v>
      </c>
      <c r="S40" s="4">
        <v>33</v>
      </c>
    </row>
    <row r="41" spans="1:19">
      <c r="A41" s="61" t="s">
        <v>96</v>
      </c>
      <c r="B41" s="5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5"/>
      <c r="S41" s="4">
        <v>34</v>
      </c>
    </row>
    <row r="42" spans="1:19">
      <c r="A42" s="90" t="s">
        <v>100</v>
      </c>
      <c r="B42" s="98">
        <f t="shared" ref="B42:B49" si="15">HLOOKUP($B$7,$F$8:$Q$74,S42,FALSE)</f>
        <v>3132.035418916998</v>
      </c>
      <c r="E42" s="20" t="s">
        <v>30</v>
      </c>
      <c r="F42" s="9">
        <v>0</v>
      </c>
      <c r="G42" s="9">
        <v>5627.5319691653158</v>
      </c>
      <c r="H42" s="9">
        <v>4393.9960443394748</v>
      </c>
      <c r="I42" s="9">
        <v>3132.035418916998</v>
      </c>
      <c r="J42" s="9"/>
      <c r="K42" s="9"/>
      <c r="L42" s="9"/>
      <c r="M42" s="9"/>
      <c r="N42" s="9"/>
      <c r="O42" s="9"/>
      <c r="P42" s="9"/>
      <c r="Q42" s="9"/>
      <c r="R42" s="25"/>
      <c r="S42" s="4">
        <v>35</v>
      </c>
    </row>
    <row r="43" spans="1:19">
      <c r="A43" s="90" t="s">
        <v>101</v>
      </c>
      <c r="B43" s="98">
        <f t="shared" si="15"/>
        <v>189.36188933769986</v>
      </c>
      <c r="E43" s="20" t="s">
        <v>30</v>
      </c>
      <c r="F43" s="9">
        <v>0</v>
      </c>
      <c r="G43" s="9">
        <v>366.09616544251185</v>
      </c>
      <c r="H43" s="9">
        <v>269.70719398027717</v>
      </c>
      <c r="I43" s="9">
        <v>189.36188933769986</v>
      </c>
      <c r="J43" s="9"/>
      <c r="K43" s="9"/>
      <c r="L43" s="9"/>
      <c r="M43" s="9"/>
      <c r="N43" s="9"/>
      <c r="O43" s="9"/>
      <c r="P43" s="9"/>
      <c r="Q43" s="9"/>
      <c r="R43" s="25"/>
      <c r="S43" s="4">
        <v>36</v>
      </c>
    </row>
    <row r="44" spans="1:19">
      <c r="A44" s="90" t="s">
        <v>102</v>
      </c>
      <c r="B44" s="98">
        <f t="shared" si="15"/>
        <v>12823.071161378241</v>
      </c>
      <c r="E44" s="20" t="s">
        <v>30</v>
      </c>
      <c r="F44" s="9">
        <v>0</v>
      </c>
      <c r="G44" s="9">
        <v>23545.241421570521</v>
      </c>
      <c r="H44" s="9">
        <v>17911.327712705694</v>
      </c>
      <c r="I44" s="9">
        <v>12823.071161378241</v>
      </c>
      <c r="J44" s="9"/>
      <c r="K44" s="9"/>
      <c r="L44" s="9"/>
      <c r="M44" s="9"/>
      <c r="N44" s="9"/>
      <c r="O44" s="9"/>
      <c r="P44" s="9"/>
      <c r="Q44" s="9"/>
      <c r="R44" s="25"/>
      <c r="S44" s="4">
        <v>37</v>
      </c>
    </row>
    <row r="45" spans="1:19">
      <c r="A45" s="90" t="s">
        <v>103</v>
      </c>
      <c r="B45" s="98">
        <f t="shared" si="15"/>
        <v>0</v>
      </c>
      <c r="E45" s="20" t="s">
        <v>30</v>
      </c>
      <c r="F45" s="9">
        <v>0</v>
      </c>
      <c r="G45" s="9">
        <v>0</v>
      </c>
      <c r="H45" s="9">
        <v>0</v>
      </c>
      <c r="I45" s="9">
        <v>0</v>
      </c>
      <c r="J45" s="9"/>
      <c r="K45" s="9"/>
      <c r="L45" s="9"/>
      <c r="M45" s="9"/>
      <c r="N45" s="9"/>
      <c r="O45" s="9"/>
      <c r="P45" s="9"/>
      <c r="Q45" s="9"/>
      <c r="R45" s="25"/>
      <c r="S45" s="4">
        <v>38</v>
      </c>
    </row>
    <row r="46" spans="1:19">
      <c r="A46" s="90" t="s">
        <v>104</v>
      </c>
      <c r="B46" s="98">
        <f t="shared" si="15"/>
        <v>8553.4769417167608</v>
      </c>
      <c r="E46" s="20" t="s">
        <v>30</v>
      </c>
      <c r="F46" s="9">
        <v>0</v>
      </c>
      <c r="G46" s="9">
        <v>15713.692481067332</v>
      </c>
      <c r="H46" s="9">
        <v>11948.801248173759</v>
      </c>
      <c r="I46" s="9">
        <v>8553.4769417167608</v>
      </c>
      <c r="J46" s="9"/>
      <c r="K46" s="9"/>
      <c r="L46" s="9"/>
      <c r="M46" s="9"/>
      <c r="N46" s="9"/>
      <c r="O46" s="9"/>
      <c r="P46" s="9"/>
      <c r="Q46" s="9"/>
      <c r="R46" s="25"/>
      <c r="S46" s="4">
        <v>39</v>
      </c>
    </row>
    <row r="47" spans="1:19">
      <c r="A47" s="90" t="s">
        <v>105</v>
      </c>
      <c r="B47" s="98">
        <f t="shared" si="15"/>
        <v>12001.494372683741</v>
      </c>
      <c r="E47" s="20" t="s">
        <v>30</v>
      </c>
      <c r="F47" s="9">
        <v>0</v>
      </c>
      <c r="G47" s="9">
        <v>22041.699080455528</v>
      </c>
      <c r="H47" s="9">
        <v>16765.517919487305</v>
      </c>
      <c r="I47" s="9">
        <v>12001.494372683741</v>
      </c>
      <c r="J47" s="9"/>
      <c r="K47" s="9"/>
      <c r="L47" s="9"/>
      <c r="M47" s="9"/>
      <c r="N47" s="9"/>
      <c r="O47" s="9"/>
      <c r="P47" s="9"/>
      <c r="Q47" s="9"/>
      <c r="R47" s="25"/>
      <c r="S47" s="4">
        <v>40</v>
      </c>
    </row>
    <row r="48" spans="1:19">
      <c r="A48" s="90" t="s">
        <v>106</v>
      </c>
      <c r="B48" s="98">
        <f t="shared" si="15"/>
        <v>2322.1479937852096</v>
      </c>
      <c r="E48" s="20" t="s">
        <v>30</v>
      </c>
      <c r="F48" s="9">
        <v>0</v>
      </c>
      <c r="G48" s="9">
        <v>4121.539046061368</v>
      </c>
      <c r="H48" s="9">
        <v>3239.6996309832657</v>
      </c>
      <c r="I48" s="9">
        <v>2322.1479937852096</v>
      </c>
      <c r="J48" s="9"/>
      <c r="K48" s="9"/>
      <c r="L48" s="9"/>
      <c r="M48" s="9"/>
      <c r="N48" s="9"/>
      <c r="O48" s="9"/>
      <c r="P48" s="9"/>
      <c r="Q48" s="9"/>
      <c r="R48" s="25"/>
      <c r="S48" s="4">
        <v>41</v>
      </c>
    </row>
    <row r="49" spans="1:19">
      <c r="A49" s="90" t="s">
        <v>107</v>
      </c>
      <c r="B49" s="98">
        <f t="shared" si="15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5"/>
      <c r="S49" s="4">
        <v>42</v>
      </c>
    </row>
    <row r="50" spans="1:19">
      <c r="A50" s="61" t="s">
        <v>62</v>
      </c>
      <c r="B50" s="5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4">
        <v>43</v>
      </c>
    </row>
    <row r="51" spans="1:19">
      <c r="A51" s="1" t="s">
        <v>71</v>
      </c>
      <c r="B51" s="31">
        <f t="shared" ref="B51:B58" si="16">HLOOKUP($B$7,$F$8:$Q$74,S51,FALSE)</f>
        <v>4545571</v>
      </c>
      <c r="F51" s="32">
        <f t="shared" ref="F51:Q51" si="17">$F$4+$F$5</f>
        <v>4545571</v>
      </c>
      <c r="G51" s="32">
        <f t="shared" si="17"/>
        <v>4545571</v>
      </c>
      <c r="H51" s="32">
        <f t="shared" si="17"/>
        <v>4545571</v>
      </c>
      <c r="I51" s="32">
        <f t="shared" si="17"/>
        <v>4545571</v>
      </c>
      <c r="J51" s="32">
        <f t="shared" si="17"/>
        <v>4545571</v>
      </c>
      <c r="K51" s="32">
        <f t="shared" si="17"/>
        <v>4545571</v>
      </c>
      <c r="L51" s="32">
        <f t="shared" si="17"/>
        <v>4545571</v>
      </c>
      <c r="M51" s="32">
        <f t="shared" si="17"/>
        <v>4545571</v>
      </c>
      <c r="N51" s="32">
        <f t="shared" si="17"/>
        <v>4545571</v>
      </c>
      <c r="O51" s="32">
        <f t="shared" si="17"/>
        <v>4545571</v>
      </c>
      <c r="P51" s="32">
        <f t="shared" si="17"/>
        <v>4545571</v>
      </c>
      <c r="Q51" s="32">
        <f t="shared" si="17"/>
        <v>4545571</v>
      </c>
      <c r="R51" s="62"/>
      <c r="S51" s="4">
        <v>44</v>
      </c>
    </row>
    <row r="52" spans="1:19">
      <c r="A52" s="1" t="s">
        <v>72</v>
      </c>
      <c r="B52" s="31">
        <f t="shared" si="16"/>
        <v>1515190.3333333333</v>
      </c>
      <c r="F52" s="33">
        <f t="shared" ref="F52:Q52" si="18">F51*(F9/12)</f>
        <v>378797.58333333331</v>
      </c>
      <c r="G52" s="33">
        <f t="shared" si="18"/>
        <v>757595.16666666663</v>
      </c>
      <c r="H52" s="33">
        <f t="shared" si="18"/>
        <v>1136392.75</v>
      </c>
      <c r="I52" s="33">
        <f t="shared" si="18"/>
        <v>1515190.3333333333</v>
      </c>
      <c r="J52" s="33">
        <f t="shared" si="18"/>
        <v>1893987.9166666667</v>
      </c>
      <c r="K52" s="33">
        <f t="shared" si="18"/>
        <v>2272785.5</v>
      </c>
      <c r="L52" s="33">
        <f t="shared" si="18"/>
        <v>2651583.0833333335</v>
      </c>
      <c r="M52" s="33">
        <f t="shared" si="18"/>
        <v>3030380.6666666665</v>
      </c>
      <c r="N52" s="33">
        <f t="shared" si="18"/>
        <v>3409178.25</v>
      </c>
      <c r="O52" s="33">
        <f t="shared" si="18"/>
        <v>3787975.8333333335</v>
      </c>
      <c r="P52" s="33">
        <f t="shared" si="18"/>
        <v>4166773.4166666665</v>
      </c>
      <c r="Q52" s="33">
        <f t="shared" si="18"/>
        <v>4545571</v>
      </c>
      <c r="R52" s="64"/>
      <c r="S52" s="4">
        <v>45</v>
      </c>
    </row>
    <row r="53" spans="1:19">
      <c r="A53" s="86" t="s">
        <v>67</v>
      </c>
      <c r="B53" s="98">
        <f t="shared" si="16"/>
        <v>184264.54</v>
      </c>
      <c r="F53" s="37">
        <f>F40</f>
        <v>2163.5499999999997</v>
      </c>
      <c r="G53" s="37">
        <f t="shared" ref="G53:Q53" si="19">F53+G40</f>
        <v>36721.300000000003</v>
      </c>
      <c r="H53" s="37">
        <f t="shared" si="19"/>
        <v>107096.47</v>
      </c>
      <c r="I53" s="37">
        <f t="shared" si="19"/>
        <v>184264.54</v>
      </c>
      <c r="J53" s="37">
        <f t="shared" si="19"/>
        <v>184264.54</v>
      </c>
      <c r="K53" s="37">
        <f t="shared" si="19"/>
        <v>184264.54</v>
      </c>
      <c r="L53" s="37">
        <f t="shared" si="19"/>
        <v>184264.54</v>
      </c>
      <c r="M53" s="37">
        <f t="shared" si="19"/>
        <v>184264.54</v>
      </c>
      <c r="N53" s="37">
        <f t="shared" si="19"/>
        <v>184264.54</v>
      </c>
      <c r="O53" s="37">
        <f t="shared" si="19"/>
        <v>184264.54</v>
      </c>
      <c r="P53" s="37">
        <f t="shared" si="19"/>
        <v>184264.54</v>
      </c>
      <c r="Q53" s="37">
        <f t="shared" si="19"/>
        <v>184264.54</v>
      </c>
      <c r="R53" s="67"/>
      <c r="S53" s="4">
        <v>46</v>
      </c>
    </row>
    <row r="54" spans="1:19">
      <c r="A54" s="86" t="s">
        <v>16</v>
      </c>
      <c r="B54" s="98">
        <f t="shared" si="16"/>
        <v>39021.587777818655</v>
      </c>
      <c r="E54" s="3"/>
      <c r="F54" s="37">
        <f t="shared" ref="F54:Q54" si="20">SUM(F42:F49)</f>
        <v>0</v>
      </c>
      <c r="G54" s="37">
        <f t="shared" si="20"/>
        <v>71415.800163762586</v>
      </c>
      <c r="H54" s="37">
        <f t="shared" si="20"/>
        <v>54529.049749669779</v>
      </c>
      <c r="I54" s="37">
        <f t="shared" si="20"/>
        <v>39021.587777818655</v>
      </c>
      <c r="J54" s="37">
        <f t="shared" si="20"/>
        <v>0</v>
      </c>
      <c r="K54" s="37">
        <f t="shared" si="20"/>
        <v>0</v>
      </c>
      <c r="L54" s="37">
        <f t="shared" si="20"/>
        <v>0</v>
      </c>
      <c r="M54" s="37">
        <f t="shared" si="20"/>
        <v>0</v>
      </c>
      <c r="N54" s="37">
        <f t="shared" si="20"/>
        <v>0</v>
      </c>
      <c r="O54" s="37">
        <f t="shared" si="20"/>
        <v>0</v>
      </c>
      <c r="P54" s="37">
        <f t="shared" si="20"/>
        <v>0</v>
      </c>
      <c r="Q54" s="37">
        <f t="shared" si="20"/>
        <v>0</v>
      </c>
      <c r="R54" s="67"/>
      <c r="S54" s="4">
        <v>47</v>
      </c>
    </row>
    <row r="55" spans="1:19">
      <c r="A55" s="91" t="s">
        <v>68</v>
      </c>
      <c r="B55" s="35">
        <f t="shared" si="16"/>
        <v>223286.12777781865</v>
      </c>
      <c r="C55" s="92"/>
      <c r="D55" s="92"/>
      <c r="E55" s="93"/>
      <c r="F55" s="36">
        <f t="shared" ref="F55:Q55" si="21">F53+F54</f>
        <v>2163.5499999999997</v>
      </c>
      <c r="G55" s="36">
        <f t="shared" si="21"/>
        <v>108137.10016376259</v>
      </c>
      <c r="H55" s="36">
        <f t="shared" si="21"/>
        <v>161625.51974966977</v>
      </c>
      <c r="I55" s="36">
        <f t="shared" si="21"/>
        <v>223286.12777781865</v>
      </c>
      <c r="J55" s="36">
        <f t="shared" si="21"/>
        <v>184264.54</v>
      </c>
      <c r="K55" s="36">
        <f t="shared" si="21"/>
        <v>184264.54</v>
      </c>
      <c r="L55" s="36">
        <f t="shared" si="21"/>
        <v>184264.54</v>
      </c>
      <c r="M55" s="36">
        <f t="shared" si="21"/>
        <v>184264.54</v>
      </c>
      <c r="N55" s="36">
        <f t="shared" si="21"/>
        <v>184264.54</v>
      </c>
      <c r="O55" s="36">
        <f t="shared" si="21"/>
        <v>184264.54</v>
      </c>
      <c r="P55" s="36">
        <f t="shared" si="21"/>
        <v>184264.54</v>
      </c>
      <c r="Q55" s="36">
        <f t="shared" si="21"/>
        <v>184264.54</v>
      </c>
      <c r="R55" s="67"/>
      <c r="S55" s="4">
        <v>48</v>
      </c>
    </row>
    <row r="56" spans="1:19">
      <c r="A56" s="86" t="s">
        <v>84</v>
      </c>
      <c r="B56" s="88">
        <f t="shared" si="16"/>
        <v>4.0537160237954707E-2</v>
      </c>
      <c r="F56" s="88">
        <f t="shared" ref="F56:Q56" si="22">F53/F51</f>
        <v>4.7596880567919844E-4</v>
      </c>
      <c r="G56" s="88">
        <f t="shared" si="22"/>
        <v>8.0784790293672686E-3</v>
      </c>
      <c r="H56" s="88">
        <f t="shared" si="22"/>
        <v>2.3560619776921317E-2</v>
      </c>
      <c r="I56" s="88">
        <f t="shared" si="22"/>
        <v>4.0537160237954707E-2</v>
      </c>
      <c r="J56" s="88">
        <f t="shared" si="22"/>
        <v>4.0537160237954707E-2</v>
      </c>
      <c r="K56" s="88">
        <f t="shared" si="22"/>
        <v>4.0537160237954707E-2</v>
      </c>
      <c r="L56" s="88">
        <f t="shared" si="22"/>
        <v>4.0537160237954707E-2</v>
      </c>
      <c r="M56" s="88">
        <f t="shared" si="22"/>
        <v>4.0537160237954707E-2</v>
      </c>
      <c r="N56" s="88">
        <f t="shared" si="22"/>
        <v>4.0537160237954707E-2</v>
      </c>
      <c r="O56" s="88">
        <f t="shared" si="22"/>
        <v>4.0537160237954707E-2</v>
      </c>
      <c r="P56" s="88">
        <f t="shared" si="22"/>
        <v>4.0537160237954707E-2</v>
      </c>
      <c r="Q56" s="88">
        <f t="shared" si="22"/>
        <v>4.0537160237954707E-2</v>
      </c>
      <c r="R56" s="97"/>
      <c r="S56" s="4">
        <v>49</v>
      </c>
    </row>
    <row r="57" spans="1:19">
      <c r="A57" s="86" t="s">
        <v>85</v>
      </c>
      <c r="B57" s="88">
        <f t="shared" si="16"/>
        <v>4.9121689613432204E-2</v>
      </c>
      <c r="F57" s="88">
        <f t="shared" ref="F57:Q57" si="23">F55/F51</f>
        <v>4.7596880567919844E-4</v>
      </c>
      <c r="G57" s="88">
        <f t="shared" si="23"/>
        <v>2.3789552547691498E-2</v>
      </c>
      <c r="H57" s="88">
        <f t="shared" si="23"/>
        <v>3.5556703382186694E-2</v>
      </c>
      <c r="I57" s="88">
        <f t="shared" si="23"/>
        <v>4.9121689613432204E-2</v>
      </c>
      <c r="J57" s="88">
        <f t="shared" si="23"/>
        <v>4.0537160237954707E-2</v>
      </c>
      <c r="K57" s="88">
        <f t="shared" si="23"/>
        <v>4.0537160237954707E-2</v>
      </c>
      <c r="L57" s="88">
        <f t="shared" si="23"/>
        <v>4.0537160237954707E-2</v>
      </c>
      <c r="M57" s="88">
        <f t="shared" si="23"/>
        <v>4.0537160237954707E-2</v>
      </c>
      <c r="N57" s="88">
        <f t="shared" si="23"/>
        <v>4.0537160237954707E-2</v>
      </c>
      <c r="O57" s="88">
        <f t="shared" si="23"/>
        <v>4.0537160237954707E-2</v>
      </c>
      <c r="P57" s="88">
        <f t="shared" si="23"/>
        <v>4.0537160237954707E-2</v>
      </c>
      <c r="Q57" s="88">
        <f t="shared" si="23"/>
        <v>4.0537160237954707E-2</v>
      </c>
      <c r="R57" s="97"/>
      <c r="S57" s="4">
        <v>50</v>
      </c>
    </row>
    <row r="58" spans="1:19">
      <c r="A58" s="86" t="s">
        <v>86</v>
      </c>
      <c r="B58" s="88">
        <f t="shared" si="16"/>
        <v>0.12161148071386413</v>
      </c>
      <c r="F58" s="88">
        <f t="shared" ref="F58:Q58" si="24">F53/F52</f>
        <v>5.7116256681503819E-3</v>
      </c>
      <c r="G58" s="88">
        <f t="shared" si="24"/>
        <v>4.8470874176203611E-2</v>
      </c>
      <c r="H58" s="88">
        <f t="shared" si="24"/>
        <v>9.4242479107685267E-2</v>
      </c>
      <c r="I58" s="88">
        <f t="shared" si="24"/>
        <v>0.12161148071386413</v>
      </c>
      <c r="J58" s="88">
        <f t="shared" si="24"/>
        <v>9.7289184571091286E-2</v>
      </c>
      <c r="K58" s="88">
        <f t="shared" si="24"/>
        <v>8.1074320475909414E-2</v>
      </c>
      <c r="L58" s="88">
        <f t="shared" si="24"/>
        <v>6.9492274693636627E-2</v>
      </c>
      <c r="M58" s="88">
        <f t="shared" si="24"/>
        <v>6.0805740356932064E-2</v>
      </c>
      <c r="N58" s="88">
        <f t="shared" si="24"/>
        <v>5.4049546983939607E-2</v>
      </c>
      <c r="O58" s="88">
        <f t="shared" si="24"/>
        <v>4.8644592285545643E-2</v>
      </c>
      <c r="P58" s="88">
        <f t="shared" si="24"/>
        <v>4.4222356623223318E-2</v>
      </c>
      <c r="Q58" s="88">
        <f t="shared" si="24"/>
        <v>4.0537160237954707E-2</v>
      </c>
      <c r="R58" s="97"/>
      <c r="S58" s="4">
        <v>51</v>
      </c>
    </row>
    <row r="59" spans="1:19">
      <c r="A59" s="61" t="s">
        <v>58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7"/>
      <c r="S59" s="4">
        <v>52</v>
      </c>
    </row>
    <row r="60" spans="1:19">
      <c r="A60" s="1" t="s">
        <v>64</v>
      </c>
      <c r="B60" s="31">
        <f>HLOOKUP($B$7,$F$8:$Q$74,S60,FALSE)</f>
        <v>18182284</v>
      </c>
      <c r="F60" s="102">
        <f t="shared" ref="F60:Q60" si="25">SUM($F$4:$I$4)+$F$5</f>
        <v>18182284</v>
      </c>
      <c r="G60" s="102">
        <f t="shared" si="25"/>
        <v>18182284</v>
      </c>
      <c r="H60" s="102">
        <f t="shared" si="25"/>
        <v>18182284</v>
      </c>
      <c r="I60" s="102">
        <f t="shared" si="25"/>
        <v>18182284</v>
      </c>
      <c r="J60" s="102">
        <f t="shared" si="25"/>
        <v>18182284</v>
      </c>
      <c r="K60" s="102">
        <f t="shared" si="25"/>
        <v>18182284</v>
      </c>
      <c r="L60" s="102">
        <f t="shared" si="25"/>
        <v>18182284</v>
      </c>
      <c r="M60" s="102">
        <f t="shared" si="25"/>
        <v>18182284</v>
      </c>
      <c r="N60" s="102">
        <f t="shared" si="25"/>
        <v>18182284</v>
      </c>
      <c r="O60" s="102">
        <f t="shared" si="25"/>
        <v>18182284</v>
      </c>
      <c r="P60" s="102">
        <f t="shared" si="25"/>
        <v>18182284</v>
      </c>
      <c r="Q60" s="102">
        <f t="shared" si="25"/>
        <v>18182284</v>
      </c>
      <c r="R60" s="97"/>
      <c r="S60" s="4">
        <v>53</v>
      </c>
    </row>
    <row r="61" spans="1:19">
      <c r="A61" s="86" t="s">
        <v>70</v>
      </c>
      <c r="B61" s="98">
        <f>HLOOKUP($B$7,$F$8:$Q$74,S61,FALSE)</f>
        <v>184264.54</v>
      </c>
      <c r="F61" s="101">
        <f t="shared" ref="F61:Q61" si="26">F53</f>
        <v>2163.5499999999997</v>
      </c>
      <c r="G61" s="101">
        <f t="shared" si="26"/>
        <v>36721.300000000003</v>
      </c>
      <c r="H61" s="101">
        <f t="shared" si="26"/>
        <v>107096.47</v>
      </c>
      <c r="I61" s="101">
        <f t="shared" si="26"/>
        <v>184264.54</v>
      </c>
      <c r="J61" s="101">
        <f t="shared" si="26"/>
        <v>184264.54</v>
      </c>
      <c r="K61" s="101">
        <f t="shared" si="26"/>
        <v>184264.54</v>
      </c>
      <c r="L61" s="101">
        <f t="shared" si="26"/>
        <v>184264.54</v>
      </c>
      <c r="M61" s="101">
        <f t="shared" si="26"/>
        <v>184264.54</v>
      </c>
      <c r="N61" s="101">
        <f t="shared" si="26"/>
        <v>184264.54</v>
      </c>
      <c r="O61" s="101">
        <f t="shared" si="26"/>
        <v>184264.54</v>
      </c>
      <c r="P61" s="101">
        <f t="shared" si="26"/>
        <v>184264.54</v>
      </c>
      <c r="Q61" s="101">
        <f t="shared" si="26"/>
        <v>184264.54</v>
      </c>
      <c r="R61" s="97"/>
      <c r="S61" s="4">
        <v>54</v>
      </c>
    </row>
    <row r="62" spans="1:19">
      <c r="A62" s="91" t="s">
        <v>69</v>
      </c>
      <c r="B62" s="106">
        <f>HLOOKUP($B$7,$F$8:$Q$74,S62,FALSE)</f>
        <v>223286.12777781865</v>
      </c>
      <c r="F62" s="35">
        <f t="shared" ref="F62:Q62" si="27">F61+F54</f>
        <v>2163.5499999999997</v>
      </c>
      <c r="G62" s="35">
        <f t="shared" si="27"/>
        <v>108137.10016376259</v>
      </c>
      <c r="H62" s="35">
        <f t="shared" si="27"/>
        <v>161625.51974966977</v>
      </c>
      <c r="I62" s="35">
        <f t="shared" si="27"/>
        <v>223286.12777781865</v>
      </c>
      <c r="J62" s="35">
        <f t="shared" si="27"/>
        <v>184264.54</v>
      </c>
      <c r="K62" s="35">
        <f t="shared" si="27"/>
        <v>184264.54</v>
      </c>
      <c r="L62" s="35">
        <f t="shared" si="27"/>
        <v>184264.54</v>
      </c>
      <c r="M62" s="35">
        <f t="shared" si="27"/>
        <v>184264.54</v>
      </c>
      <c r="N62" s="35">
        <f t="shared" si="27"/>
        <v>184264.54</v>
      </c>
      <c r="O62" s="35">
        <f t="shared" si="27"/>
        <v>184264.54</v>
      </c>
      <c r="P62" s="35">
        <f t="shared" si="27"/>
        <v>184264.54</v>
      </c>
      <c r="Q62" s="35">
        <f t="shared" si="27"/>
        <v>184264.54</v>
      </c>
      <c r="R62" s="97"/>
      <c r="S62" s="4">
        <v>55</v>
      </c>
    </row>
    <row r="63" spans="1:19">
      <c r="A63" s="86" t="s">
        <v>65</v>
      </c>
      <c r="B63" s="88">
        <f>HLOOKUP($B$7,$F$8:$Q$74,S63,FALSE)</f>
        <v>1.0134290059488677E-2</v>
      </c>
      <c r="F63" s="88">
        <f t="shared" ref="F63:Q63" si="28">F61/F60</f>
        <v>1.1899220141979961E-4</v>
      </c>
      <c r="G63" s="88">
        <f t="shared" si="28"/>
        <v>2.0196197573418171E-3</v>
      </c>
      <c r="H63" s="88">
        <f t="shared" si="28"/>
        <v>5.8901549442303292E-3</v>
      </c>
      <c r="I63" s="88">
        <f t="shared" si="28"/>
        <v>1.0134290059488677E-2</v>
      </c>
      <c r="J63" s="88">
        <f t="shared" si="28"/>
        <v>1.0134290059488677E-2</v>
      </c>
      <c r="K63" s="88">
        <f t="shared" si="28"/>
        <v>1.0134290059488677E-2</v>
      </c>
      <c r="L63" s="88">
        <f t="shared" si="28"/>
        <v>1.0134290059488677E-2</v>
      </c>
      <c r="M63" s="88">
        <f t="shared" si="28"/>
        <v>1.0134290059488677E-2</v>
      </c>
      <c r="N63" s="88">
        <f t="shared" si="28"/>
        <v>1.0134290059488677E-2</v>
      </c>
      <c r="O63" s="88">
        <f t="shared" si="28"/>
        <v>1.0134290059488677E-2</v>
      </c>
      <c r="P63" s="88">
        <f t="shared" si="28"/>
        <v>1.0134290059488677E-2</v>
      </c>
      <c r="Q63" s="88">
        <f t="shared" si="28"/>
        <v>1.0134290059488677E-2</v>
      </c>
      <c r="R63" s="97"/>
      <c r="S63" s="4">
        <v>56</v>
      </c>
    </row>
    <row r="64" spans="1:19">
      <c r="A64" s="86" t="s">
        <v>66</v>
      </c>
      <c r="B64" s="88">
        <f>HLOOKUP($B$7,$F$8:$Q$74,S64,FALSE)</f>
        <v>1.2280422403358051E-2</v>
      </c>
      <c r="F64" s="88">
        <f t="shared" ref="F64:Q64" si="29">F62/F60</f>
        <v>1.1899220141979961E-4</v>
      </c>
      <c r="G64" s="88">
        <f t="shared" si="29"/>
        <v>5.9473881369228746E-3</v>
      </c>
      <c r="H64" s="88">
        <f t="shared" si="29"/>
        <v>8.8891758455466735E-3</v>
      </c>
      <c r="I64" s="88">
        <f t="shared" si="29"/>
        <v>1.2280422403358051E-2</v>
      </c>
      <c r="J64" s="88">
        <f t="shared" si="29"/>
        <v>1.0134290059488677E-2</v>
      </c>
      <c r="K64" s="88">
        <f t="shared" si="29"/>
        <v>1.0134290059488677E-2</v>
      </c>
      <c r="L64" s="88">
        <f t="shared" si="29"/>
        <v>1.0134290059488677E-2</v>
      </c>
      <c r="M64" s="88">
        <f t="shared" si="29"/>
        <v>1.0134290059488677E-2</v>
      </c>
      <c r="N64" s="88">
        <f t="shared" si="29"/>
        <v>1.0134290059488677E-2</v>
      </c>
      <c r="O64" s="88">
        <f t="shared" si="29"/>
        <v>1.0134290059488677E-2</v>
      </c>
      <c r="P64" s="88">
        <f t="shared" si="29"/>
        <v>1.0134290059488677E-2</v>
      </c>
      <c r="Q64" s="88">
        <f t="shared" si="29"/>
        <v>1.0134290059488677E-2</v>
      </c>
      <c r="R64" s="97"/>
      <c r="S64" s="4">
        <v>57</v>
      </c>
    </row>
    <row r="65" spans="1:20">
      <c r="A65" s="61" t="s">
        <v>17</v>
      </c>
      <c r="B65" s="5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5"/>
      <c r="S65" s="4">
        <v>58</v>
      </c>
    </row>
    <row r="66" spans="1:20">
      <c r="A66" s="18" t="s">
        <v>18</v>
      </c>
      <c r="B66" s="40">
        <f>HLOOKUP($B$7,$F$8:$Q$74,S66,FALSE)</f>
        <v>0</v>
      </c>
      <c r="E66" s="20" t="s">
        <v>36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20">
      <c r="A67" s="18" t="s">
        <v>19</v>
      </c>
      <c r="B67" s="40">
        <f>HLOOKUP($B$7,$F$8:$Q$74,S67,FALSE)</f>
        <v>0</v>
      </c>
      <c r="E67" s="20" t="s">
        <v>36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20">
      <c r="A68" s="18" t="s">
        <v>20</v>
      </c>
      <c r="B68" s="40">
        <f>HLOOKUP($B$7,$F$8:$Q$74,S68,FALSE)</f>
        <v>0</v>
      </c>
      <c r="E68" s="20" t="s">
        <v>36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20">
      <c r="A69" s="18" t="s">
        <v>21</v>
      </c>
      <c r="B69" s="40">
        <f>HLOOKUP($B$7,$F$8:$Q$74,S69,FALSE)</f>
        <v>0</v>
      </c>
      <c r="E69" s="20" t="s">
        <v>37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20">
      <c r="A70" s="61" t="s">
        <v>8</v>
      </c>
      <c r="B70" s="5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5"/>
      <c r="S70" s="4">
        <v>63</v>
      </c>
    </row>
    <row r="71" spans="1:20">
      <c r="A71" s="18" t="s">
        <v>1</v>
      </c>
      <c r="B71" s="19">
        <f>HLOOKUP($B$7,$F$8:$Q$74,S71,FALSE)</f>
        <v>1184</v>
      </c>
      <c r="E71" s="20" t="s">
        <v>30</v>
      </c>
      <c r="F71" s="7">
        <v>312</v>
      </c>
      <c r="G71" s="7">
        <v>572</v>
      </c>
      <c r="H71" s="7">
        <v>860</v>
      </c>
      <c r="I71" s="7">
        <v>1184</v>
      </c>
      <c r="J71" s="7"/>
      <c r="K71" s="7"/>
      <c r="L71" s="7"/>
      <c r="M71" s="7"/>
      <c r="N71" s="7"/>
      <c r="O71" s="7"/>
      <c r="P71" s="7"/>
      <c r="Q71" s="7"/>
      <c r="R71" s="25"/>
      <c r="S71" s="4">
        <v>64</v>
      </c>
    </row>
    <row r="72" spans="1:20">
      <c r="A72" s="18" t="s">
        <v>38</v>
      </c>
      <c r="B72" s="19">
        <f>HLOOKUP($B$7,$F$8:$Q$74,S72,FALSE)</f>
        <v>1016</v>
      </c>
      <c r="E72" s="20" t="s">
        <v>30</v>
      </c>
      <c r="F72" s="7">
        <v>137</v>
      </c>
      <c r="G72" s="7">
        <v>371</v>
      </c>
      <c r="H72" s="7">
        <v>663</v>
      </c>
      <c r="I72" s="7">
        <v>1016</v>
      </c>
      <c r="J72" s="7"/>
      <c r="K72" s="7"/>
      <c r="L72" s="7"/>
      <c r="M72" s="7"/>
      <c r="N72" s="7"/>
      <c r="O72" s="7"/>
      <c r="P72" s="7"/>
      <c r="Q72" s="7"/>
      <c r="R72" s="25"/>
      <c r="S72" s="4">
        <v>65</v>
      </c>
    </row>
    <row r="73" spans="1:20" s="4" customFormat="1">
      <c r="A73" s="61" t="s">
        <v>32</v>
      </c>
      <c r="B73" s="59"/>
      <c r="C73" s="41"/>
      <c r="E73" s="4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5"/>
      <c r="S73" s="4">
        <v>66</v>
      </c>
    </row>
    <row r="74" spans="1:20" s="4" customFormat="1">
      <c r="A74" s="18" t="s">
        <v>33</v>
      </c>
      <c r="B74" s="19">
        <f>HLOOKUP($B$7,$F$8:$Q$74,S74,FALSE)</f>
        <v>13177</v>
      </c>
      <c r="C74" s="41"/>
      <c r="E74" s="20" t="s">
        <v>34</v>
      </c>
      <c r="F74" s="42">
        <f>F3</f>
        <v>13177</v>
      </c>
      <c r="G74" s="42">
        <f>F74</f>
        <v>13177</v>
      </c>
      <c r="H74" s="43">
        <f>G74</f>
        <v>13177</v>
      </c>
      <c r="I74" s="42">
        <f>H74</f>
        <v>13177</v>
      </c>
      <c r="J74" s="42"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5"/>
      <c r="S74" s="4">
        <v>67</v>
      </c>
    </row>
    <row r="75" spans="1:20" s="164" customFormat="1">
      <c r="A75" s="18" t="s">
        <v>146</v>
      </c>
      <c r="B75" s="19">
        <f>HLOOKUP($B$7,$F$8:$Q$75,S75,FALSE)</f>
        <v>0</v>
      </c>
      <c r="C75" s="41"/>
      <c r="D75" s="4"/>
      <c r="E75" s="20" t="s">
        <v>34</v>
      </c>
      <c r="F75" s="42">
        <v>0</v>
      </c>
      <c r="G75" s="42">
        <v>0</v>
      </c>
      <c r="H75" s="43">
        <f t="shared" ref="H75:J75" si="30">G75</f>
        <v>0</v>
      </c>
      <c r="I75" s="42">
        <f t="shared" si="30"/>
        <v>0</v>
      </c>
      <c r="J75" s="42">
        <f t="shared" si="30"/>
        <v>0</v>
      </c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5"/>
      <c r="S75" s="4">
        <v>68</v>
      </c>
      <c r="T75" s="4"/>
    </row>
    <row r="76" spans="1:20" s="4" customFormat="1" ht="9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20" s="4" customFormat="1">
      <c r="A77" s="72" t="s">
        <v>43</v>
      </c>
      <c r="B77" s="69"/>
      <c r="C77" s="41"/>
      <c r="R77" s="68"/>
    </row>
    <row r="78" spans="1:20" s="4" customFormat="1">
      <c r="A78" s="61" t="s">
        <v>31</v>
      </c>
      <c r="B78" s="12"/>
      <c r="C78" s="41"/>
      <c r="R78" s="68"/>
    </row>
    <row r="79" spans="1:20" s="4" customFormat="1">
      <c r="A79" s="84">
        <f>VLOOKUP(B7,E88:T99,2,FALSE)</f>
        <v>0</v>
      </c>
      <c r="B79" s="70"/>
      <c r="C79" s="41"/>
      <c r="R79" s="68"/>
    </row>
    <row r="80" spans="1:20" s="4" customFormat="1">
      <c r="A80" s="61" t="s">
        <v>40</v>
      </c>
      <c r="B80" s="12"/>
      <c r="C80" s="41"/>
      <c r="R80" s="68"/>
    </row>
    <row r="81" spans="1:20" s="4" customFormat="1">
      <c r="A81" s="84">
        <f>VLOOKUP(B7,E88:T99,6,FALSE)</f>
        <v>0</v>
      </c>
      <c r="B81" s="71"/>
      <c r="C81" s="41"/>
      <c r="R81" s="68"/>
    </row>
    <row r="82" spans="1:20" s="4" customFormat="1">
      <c r="A82" s="61" t="s">
        <v>44</v>
      </c>
      <c r="B82" s="12"/>
      <c r="C82" s="41"/>
      <c r="R82" s="68"/>
    </row>
    <row r="83" spans="1:20" s="4" customFormat="1" ht="15" customHeight="1">
      <c r="A83" s="84">
        <f>VLOOKUP(B7,E88:T99,10,FALSE)</f>
        <v>0</v>
      </c>
      <c r="B83" s="73"/>
      <c r="C83" s="41"/>
      <c r="R83" s="68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20">
      <c r="A86" s="7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0"/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1" t="s">
        <v>137</v>
      </c>
      <c r="S88" s="171"/>
      <c r="T88" s="171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1"/>
      <c r="S89" s="171"/>
      <c r="T89" s="171"/>
    </row>
    <row r="90" spans="1:20">
      <c r="D90" s="41"/>
      <c r="E90" s="14">
        <v>40969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/>
      <c r="S90" s="171"/>
      <c r="T90" s="171"/>
    </row>
    <row r="91" spans="1:20">
      <c r="D91" s="41"/>
      <c r="E91" s="14">
        <v>41000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1"/>
      <c r="S91" s="171"/>
      <c r="T91" s="171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 s="3" customFormat="1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 s="3" customFormat="1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 s="3" customFormat="1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</sheetData>
  <mergeCells count="54">
    <mergeCell ref="D1:F1"/>
    <mergeCell ref="D85:G85"/>
    <mergeCell ref="F87:I87"/>
    <mergeCell ref="J87:M87"/>
    <mergeCell ref="N87:Q87"/>
    <mergeCell ref="R87:T87"/>
    <mergeCell ref="F88:I88"/>
    <mergeCell ref="J88:M88"/>
    <mergeCell ref="N88:Q88"/>
    <mergeCell ref="R88:T88"/>
    <mergeCell ref="F89:I89"/>
    <mergeCell ref="J89:M89"/>
    <mergeCell ref="N89:Q89"/>
    <mergeCell ref="R89:T89"/>
    <mergeCell ref="F90:I90"/>
    <mergeCell ref="J90:M90"/>
    <mergeCell ref="N90:Q90"/>
    <mergeCell ref="R90:T90"/>
    <mergeCell ref="F91:I91"/>
    <mergeCell ref="J91:M91"/>
    <mergeCell ref="N91:Q91"/>
    <mergeCell ref="R91:T91"/>
    <mergeCell ref="F92:I92"/>
    <mergeCell ref="J92:M92"/>
    <mergeCell ref="N92:Q92"/>
    <mergeCell ref="R92:T92"/>
    <mergeCell ref="F93:I93"/>
    <mergeCell ref="J93:M93"/>
    <mergeCell ref="N93:Q93"/>
    <mergeCell ref="R93:T93"/>
    <mergeCell ref="F94:I94"/>
    <mergeCell ref="J94:M94"/>
    <mergeCell ref="N94:Q94"/>
    <mergeCell ref="R94:T94"/>
    <mergeCell ref="F95:I95"/>
    <mergeCell ref="J95:M95"/>
    <mergeCell ref="N95:Q95"/>
    <mergeCell ref="R95:T95"/>
    <mergeCell ref="F96:I96"/>
    <mergeCell ref="J96:M96"/>
    <mergeCell ref="N96:Q96"/>
    <mergeCell ref="R96:T96"/>
    <mergeCell ref="F99:I99"/>
    <mergeCell ref="J99:M99"/>
    <mergeCell ref="N99:Q99"/>
    <mergeCell ref="R99:T99"/>
    <mergeCell ref="F97:I97"/>
    <mergeCell ref="J97:M97"/>
    <mergeCell ref="N97:Q97"/>
    <mergeCell ref="R97:T97"/>
    <mergeCell ref="F98:I98"/>
    <mergeCell ref="J98:M98"/>
    <mergeCell ref="N98:Q98"/>
    <mergeCell ref="R98:T98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99"/>
  <sheetViews>
    <sheetView topLeftCell="A41" zoomScaleNormal="100" workbookViewId="0">
      <pane xSplit="1" topLeftCell="B1" activePane="topRight" state="frozen"/>
      <selection activeCell="E8" sqref="E8"/>
      <selection pane="topRight" activeCell="F71" sqref="F71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17" width="15.7109375" style="3" customWidth="1"/>
    <col min="18" max="18" width="15.7109375" style="63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08" t="s">
        <v>125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110</v>
      </c>
      <c r="C3" s="6"/>
      <c r="E3" s="111" t="s">
        <v>114</v>
      </c>
      <c r="F3" s="109">
        <v>1040</v>
      </c>
      <c r="G3" s="109">
        <v>1040</v>
      </c>
      <c r="H3" s="109">
        <v>1040</v>
      </c>
      <c r="I3" s="109">
        <v>1040</v>
      </c>
    </row>
    <row r="4" spans="1:19">
      <c r="A4" s="1" t="s">
        <v>9</v>
      </c>
      <c r="B4" s="113">
        <v>40957</v>
      </c>
      <c r="C4" s="8"/>
      <c r="E4" s="111" t="s">
        <v>74</v>
      </c>
      <c r="F4" s="110">
        <v>1337143</v>
      </c>
      <c r="G4" s="110">
        <v>1337143</v>
      </c>
      <c r="H4" s="110">
        <v>1337143</v>
      </c>
      <c r="I4" s="110">
        <v>1337143</v>
      </c>
      <c r="J4" s="10"/>
      <c r="K4" s="10"/>
      <c r="L4" s="10"/>
      <c r="M4" s="10"/>
      <c r="N4" s="10"/>
      <c r="O4" s="10"/>
      <c r="P4" s="10"/>
      <c r="Q4" s="10"/>
      <c r="R4" s="116"/>
    </row>
    <row r="5" spans="1:19">
      <c r="A5" s="46" t="s">
        <v>10</v>
      </c>
      <c r="B5" s="114">
        <v>40242</v>
      </c>
      <c r="C5" s="8"/>
      <c r="E5" s="111" t="s">
        <v>93</v>
      </c>
      <c r="F5" s="1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6"/>
    </row>
    <row r="6" spans="1:19">
      <c r="A6" s="1" t="s">
        <v>99</v>
      </c>
      <c r="B6" s="113">
        <v>40909</v>
      </c>
      <c r="C6" s="8"/>
      <c r="E6" s="5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6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6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4">
        <v>3</v>
      </c>
    </row>
    <row r="11" spans="1:19">
      <c r="A11" s="18" t="s">
        <v>22</v>
      </c>
      <c r="B11" s="19">
        <f>HLOOKUP($B$7,$F$8:$Q$74,S11,FALSE)</f>
        <v>0</v>
      </c>
      <c r="E11" s="20" t="s">
        <v>28</v>
      </c>
      <c r="F11" s="7">
        <v>0</v>
      </c>
      <c r="G11" s="7">
        <v>0</v>
      </c>
      <c r="H11" s="7">
        <v>0</v>
      </c>
      <c r="I11" s="7">
        <v>0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0</v>
      </c>
      <c r="S11" s="4">
        <v>4</v>
      </c>
    </row>
    <row r="12" spans="1:19">
      <c r="A12" s="18" t="s">
        <v>109</v>
      </c>
      <c r="B12" s="75">
        <f>HLOOKUP($B$7,$F$8:$Q$74,S12,FALSE)</f>
        <v>0</v>
      </c>
      <c r="E12" s="20" t="s">
        <v>28</v>
      </c>
      <c r="F12" s="81">
        <v>0</v>
      </c>
      <c r="G12" s="81">
        <v>0</v>
      </c>
      <c r="H12" s="81">
        <v>0</v>
      </c>
      <c r="I12" s="81">
        <v>0</v>
      </c>
      <c r="J12" s="81"/>
      <c r="K12" s="81"/>
      <c r="L12" s="81"/>
      <c r="M12" s="81"/>
      <c r="N12" s="81"/>
      <c r="O12" s="81"/>
      <c r="P12" s="81"/>
      <c r="Q12" s="81"/>
      <c r="R12" s="80">
        <f>SUM(F12:Q12)</f>
        <v>0</v>
      </c>
      <c r="S12" s="4">
        <v>5</v>
      </c>
    </row>
    <row r="13" spans="1:19">
      <c r="A13" s="18" t="s">
        <v>23</v>
      </c>
      <c r="B13" s="19">
        <f>HLOOKUP($B$7,$F$8:$Q$74,S13,FALSE)</f>
        <v>0</v>
      </c>
      <c r="E13" s="20" t="s">
        <v>28</v>
      </c>
      <c r="F13" s="7">
        <v>0</v>
      </c>
      <c r="G13" s="7">
        <v>0</v>
      </c>
      <c r="H13" s="7">
        <v>0</v>
      </c>
      <c r="I13" s="7">
        <v>0</v>
      </c>
      <c r="J13" s="7"/>
      <c r="K13" s="7"/>
      <c r="L13" s="7"/>
      <c r="M13" s="7"/>
      <c r="N13" s="7"/>
      <c r="O13" s="7"/>
      <c r="P13" s="7"/>
      <c r="Q13" s="7"/>
      <c r="R13" s="24">
        <f>SUM(F13:Q13)</f>
        <v>0</v>
      </c>
      <c r="S13" s="4">
        <v>6</v>
      </c>
    </row>
    <row r="14" spans="1:19">
      <c r="A14" s="61" t="s">
        <v>88</v>
      </c>
      <c r="B14" s="59"/>
      <c r="E14" s="5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  <c r="S14" s="4">
        <v>7</v>
      </c>
    </row>
    <row r="15" spans="1:19">
      <c r="A15" s="1" t="s">
        <v>87</v>
      </c>
      <c r="B15" s="23">
        <f t="shared" ref="B15:B22" si="0">HLOOKUP($B$7,$F$8:$Q$74,S15,FALSE)</f>
        <v>1040</v>
      </c>
      <c r="E15" s="5"/>
      <c r="F15" s="24">
        <f t="shared" ref="F15:Q15" si="1">$F$3</f>
        <v>1040</v>
      </c>
      <c r="G15" s="24">
        <f t="shared" si="1"/>
        <v>1040</v>
      </c>
      <c r="H15" s="24">
        <f t="shared" si="1"/>
        <v>1040</v>
      </c>
      <c r="I15" s="24">
        <f t="shared" si="1"/>
        <v>1040</v>
      </c>
      <c r="J15" s="24">
        <f t="shared" si="1"/>
        <v>1040</v>
      </c>
      <c r="K15" s="24">
        <f t="shared" si="1"/>
        <v>1040</v>
      </c>
      <c r="L15" s="24">
        <f t="shared" si="1"/>
        <v>1040</v>
      </c>
      <c r="M15" s="24">
        <f t="shared" si="1"/>
        <v>1040</v>
      </c>
      <c r="N15" s="24">
        <f t="shared" si="1"/>
        <v>1040</v>
      </c>
      <c r="O15" s="24">
        <f t="shared" si="1"/>
        <v>1040</v>
      </c>
      <c r="P15" s="24">
        <f t="shared" si="1"/>
        <v>1040</v>
      </c>
      <c r="Q15" s="24">
        <f t="shared" si="1"/>
        <v>1040</v>
      </c>
      <c r="R15" s="25"/>
      <c r="S15" s="4">
        <v>8</v>
      </c>
    </row>
    <row r="16" spans="1:19">
      <c r="A16" s="1" t="s">
        <v>89</v>
      </c>
      <c r="B16" s="23">
        <f t="shared" si="0"/>
        <v>346.66666666666663</v>
      </c>
      <c r="E16" s="5"/>
      <c r="F16" s="24">
        <f t="shared" ref="F16:Q16" si="2">F15*(F9/12)</f>
        <v>86.666666666666657</v>
      </c>
      <c r="G16" s="24">
        <f t="shared" si="2"/>
        <v>173.33333333333331</v>
      </c>
      <c r="H16" s="24">
        <f t="shared" si="2"/>
        <v>260</v>
      </c>
      <c r="I16" s="24">
        <f t="shared" si="2"/>
        <v>346.66666666666663</v>
      </c>
      <c r="J16" s="24">
        <f t="shared" si="2"/>
        <v>433.33333333333337</v>
      </c>
      <c r="K16" s="24">
        <f t="shared" si="2"/>
        <v>520</v>
      </c>
      <c r="L16" s="24">
        <f t="shared" si="2"/>
        <v>606.66666666666674</v>
      </c>
      <c r="M16" s="24">
        <f t="shared" si="2"/>
        <v>693.33333333333326</v>
      </c>
      <c r="N16" s="24">
        <f t="shared" si="2"/>
        <v>780</v>
      </c>
      <c r="O16" s="24">
        <f t="shared" si="2"/>
        <v>866.66666666666674</v>
      </c>
      <c r="P16" s="24">
        <f t="shared" si="2"/>
        <v>953.33333333333326</v>
      </c>
      <c r="Q16" s="24">
        <f t="shared" si="2"/>
        <v>1040</v>
      </c>
      <c r="R16" s="25"/>
      <c r="S16" s="4">
        <v>9</v>
      </c>
    </row>
    <row r="17" spans="1:19">
      <c r="A17" s="86" t="s">
        <v>82</v>
      </c>
      <c r="B17" s="19">
        <f t="shared" si="0"/>
        <v>0</v>
      </c>
      <c r="E17" s="5"/>
      <c r="F17" s="21">
        <f>F11</f>
        <v>0</v>
      </c>
      <c r="G17" s="21">
        <f t="shared" ref="G17:Q17" si="3">F17+G11</f>
        <v>0</v>
      </c>
      <c r="H17" s="21">
        <f t="shared" si="3"/>
        <v>0</v>
      </c>
      <c r="I17" s="21">
        <f t="shared" si="3"/>
        <v>0</v>
      </c>
      <c r="J17" s="21">
        <f t="shared" si="3"/>
        <v>0</v>
      </c>
      <c r="K17" s="21">
        <f t="shared" si="3"/>
        <v>0</v>
      </c>
      <c r="L17" s="21">
        <f t="shared" si="3"/>
        <v>0</v>
      </c>
      <c r="M17" s="21">
        <f t="shared" si="3"/>
        <v>0</v>
      </c>
      <c r="N17" s="21">
        <f t="shared" si="3"/>
        <v>0</v>
      </c>
      <c r="O17" s="21">
        <f t="shared" si="3"/>
        <v>0</v>
      </c>
      <c r="P17" s="21">
        <f t="shared" si="3"/>
        <v>0</v>
      </c>
      <c r="Q17" s="21">
        <f t="shared" si="3"/>
        <v>0</v>
      </c>
      <c r="R17" s="65"/>
      <c r="S17" s="4">
        <v>10</v>
      </c>
    </row>
    <row r="18" spans="1:19">
      <c r="A18" s="86" t="s">
        <v>14</v>
      </c>
      <c r="B18" s="19">
        <f t="shared" si="0"/>
        <v>0</v>
      </c>
      <c r="E18" s="20" t="s">
        <v>30</v>
      </c>
      <c r="F18" s="7">
        <v>0</v>
      </c>
      <c r="G18" s="7">
        <v>0</v>
      </c>
      <c r="H18" s="7">
        <v>0</v>
      </c>
      <c r="I18" s="7">
        <v>0</v>
      </c>
      <c r="J18" s="7"/>
      <c r="K18" s="7"/>
      <c r="L18" s="7"/>
      <c r="M18" s="7"/>
      <c r="N18" s="7"/>
      <c r="O18" s="7"/>
      <c r="P18" s="7"/>
      <c r="Q18" s="7"/>
      <c r="R18" s="65"/>
      <c r="S18" s="4">
        <v>11</v>
      </c>
    </row>
    <row r="19" spans="1:19">
      <c r="A19" s="87" t="s">
        <v>47</v>
      </c>
      <c r="B19" s="51">
        <f t="shared" si="0"/>
        <v>0</v>
      </c>
      <c r="C19" s="92"/>
      <c r="D19" s="92"/>
      <c r="E19" s="92"/>
      <c r="F19" s="26">
        <f t="shared" ref="F19:Q19" si="4">F17+F18</f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5"/>
      <c r="S19" s="4">
        <v>12</v>
      </c>
    </row>
    <row r="20" spans="1:19">
      <c r="A20" s="86" t="s">
        <v>24</v>
      </c>
      <c r="B20" s="88">
        <f t="shared" si="0"/>
        <v>0</v>
      </c>
      <c r="F20" s="88">
        <f t="shared" ref="F20:Q20" si="5">F17/F15</f>
        <v>0</v>
      </c>
      <c r="G20" s="88">
        <f t="shared" si="5"/>
        <v>0</v>
      </c>
      <c r="H20" s="88">
        <f t="shared" si="5"/>
        <v>0</v>
      </c>
      <c r="I20" s="88">
        <f t="shared" si="5"/>
        <v>0</v>
      </c>
      <c r="J20" s="88">
        <f t="shared" si="5"/>
        <v>0</v>
      </c>
      <c r="K20" s="88">
        <f t="shared" si="5"/>
        <v>0</v>
      </c>
      <c r="L20" s="88">
        <f t="shared" si="5"/>
        <v>0</v>
      </c>
      <c r="M20" s="88">
        <f t="shared" si="5"/>
        <v>0</v>
      </c>
      <c r="N20" s="88">
        <f t="shared" si="5"/>
        <v>0</v>
      </c>
      <c r="O20" s="88">
        <f t="shared" si="5"/>
        <v>0</v>
      </c>
      <c r="P20" s="88">
        <f t="shared" si="5"/>
        <v>0</v>
      </c>
      <c r="Q20" s="88">
        <f t="shared" si="5"/>
        <v>0</v>
      </c>
      <c r="R20" s="97"/>
      <c r="S20" s="4">
        <v>13</v>
      </c>
    </row>
    <row r="21" spans="1:19">
      <c r="A21" s="86" t="s">
        <v>48</v>
      </c>
      <c r="B21" s="88">
        <f t="shared" si="0"/>
        <v>0</v>
      </c>
      <c r="F21" s="88">
        <f t="shared" ref="F21:Q21" si="6">F19/F15</f>
        <v>0</v>
      </c>
      <c r="G21" s="88">
        <f t="shared" si="6"/>
        <v>0</v>
      </c>
      <c r="H21" s="88">
        <f t="shared" si="6"/>
        <v>0</v>
      </c>
      <c r="I21" s="88">
        <f t="shared" si="6"/>
        <v>0</v>
      </c>
      <c r="J21" s="88">
        <f t="shared" si="6"/>
        <v>0</v>
      </c>
      <c r="K21" s="88">
        <f t="shared" si="6"/>
        <v>0</v>
      </c>
      <c r="L21" s="88">
        <f t="shared" si="6"/>
        <v>0</v>
      </c>
      <c r="M21" s="88">
        <f t="shared" si="6"/>
        <v>0</v>
      </c>
      <c r="N21" s="88">
        <f t="shared" si="6"/>
        <v>0</v>
      </c>
      <c r="O21" s="88">
        <f t="shared" si="6"/>
        <v>0</v>
      </c>
      <c r="P21" s="88">
        <f t="shared" si="6"/>
        <v>0</v>
      </c>
      <c r="Q21" s="88">
        <f t="shared" si="6"/>
        <v>0</v>
      </c>
      <c r="R21" s="97"/>
      <c r="S21" s="4">
        <v>14</v>
      </c>
    </row>
    <row r="22" spans="1:19">
      <c r="A22" s="86" t="s">
        <v>25</v>
      </c>
      <c r="B22" s="88">
        <f t="shared" si="0"/>
        <v>0</v>
      </c>
      <c r="F22" s="88">
        <f t="shared" ref="F22:Q22" si="7">F17/F16</f>
        <v>0</v>
      </c>
      <c r="G22" s="88">
        <f t="shared" si="7"/>
        <v>0</v>
      </c>
      <c r="H22" s="88">
        <f t="shared" si="7"/>
        <v>0</v>
      </c>
      <c r="I22" s="88">
        <f t="shared" si="7"/>
        <v>0</v>
      </c>
      <c r="J22" s="88">
        <f t="shared" si="7"/>
        <v>0</v>
      </c>
      <c r="K22" s="88">
        <f t="shared" si="7"/>
        <v>0</v>
      </c>
      <c r="L22" s="88">
        <f t="shared" si="7"/>
        <v>0</v>
      </c>
      <c r="M22" s="88">
        <f t="shared" si="7"/>
        <v>0</v>
      </c>
      <c r="N22" s="88">
        <f t="shared" si="7"/>
        <v>0</v>
      </c>
      <c r="O22" s="88">
        <f t="shared" si="7"/>
        <v>0</v>
      </c>
      <c r="P22" s="88">
        <f t="shared" si="7"/>
        <v>0</v>
      </c>
      <c r="Q22" s="88">
        <f t="shared" si="7"/>
        <v>0</v>
      </c>
      <c r="R22" s="97"/>
      <c r="S22" s="4">
        <v>15</v>
      </c>
    </row>
    <row r="23" spans="1:19">
      <c r="A23" s="61" t="s">
        <v>90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5"/>
      <c r="S23" s="4">
        <v>16</v>
      </c>
    </row>
    <row r="24" spans="1:19">
      <c r="A24" s="86" t="s">
        <v>83</v>
      </c>
      <c r="B24" s="75">
        <f>HLOOKUP($B$7,$F$8:$Q$74,S24,FALSE)</f>
        <v>0</v>
      </c>
      <c r="E24" s="76"/>
      <c r="F24" s="75">
        <f>F12</f>
        <v>0</v>
      </c>
      <c r="G24" s="75">
        <f t="shared" ref="G24:Q24" si="8">F24+G12</f>
        <v>0</v>
      </c>
      <c r="H24" s="75">
        <f t="shared" si="8"/>
        <v>0</v>
      </c>
      <c r="I24" s="75">
        <f t="shared" si="8"/>
        <v>0</v>
      </c>
      <c r="J24" s="75">
        <f t="shared" si="8"/>
        <v>0</v>
      </c>
      <c r="K24" s="75">
        <f t="shared" si="8"/>
        <v>0</v>
      </c>
      <c r="L24" s="75">
        <f t="shared" si="8"/>
        <v>0</v>
      </c>
      <c r="M24" s="75">
        <f t="shared" si="8"/>
        <v>0</v>
      </c>
      <c r="N24" s="75">
        <f t="shared" si="8"/>
        <v>0</v>
      </c>
      <c r="O24" s="75">
        <f t="shared" si="8"/>
        <v>0</v>
      </c>
      <c r="P24" s="75">
        <f t="shared" si="8"/>
        <v>0</v>
      </c>
      <c r="Q24" s="75">
        <f t="shared" si="8"/>
        <v>0</v>
      </c>
      <c r="R24" s="25"/>
      <c r="S24" s="4">
        <v>17</v>
      </c>
    </row>
    <row r="25" spans="1:19">
      <c r="A25" s="86" t="s">
        <v>15</v>
      </c>
      <c r="B25" s="75">
        <f>HLOOKUP($B$7,$F$8:$Q$74,S25,FALSE)</f>
        <v>0</v>
      </c>
      <c r="E25" s="20" t="s">
        <v>30</v>
      </c>
      <c r="F25" s="81">
        <v>0</v>
      </c>
      <c r="G25" s="81">
        <v>0</v>
      </c>
      <c r="H25" s="81">
        <v>0</v>
      </c>
      <c r="I25" s="81">
        <v>0</v>
      </c>
      <c r="J25" s="81"/>
      <c r="K25" s="81"/>
      <c r="L25" s="81"/>
      <c r="M25" s="81"/>
      <c r="N25" s="81"/>
      <c r="O25" s="81"/>
      <c r="P25" s="81"/>
      <c r="Q25" s="81"/>
      <c r="R25" s="25"/>
      <c r="S25" s="4">
        <v>18</v>
      </c>
    </row>
    <row r="26" spans="1:19">
      <c r="A26" s="89" t="s">
        <v>26</v>
      </c>
      <c r="B26" s="83">
        <f>HLOOKUP($B$7,$F$8:$Q$74,S26,FALSE)</f>
        <v>0</v>
      </c>
      <c r="C26" s="92"/>
      <c r="D26" s="92"/>
      <c r="E26" s="99"/>
      <c r="F26" s="83">
        <f t="shared" ref="F26:Q26" si="9">F24+F25</f>
        <v>0</v>
      </c>
      <c r="G26" s="83">
        <f t="shared" si="9"/>
        <v>0</v>
      </c>
      <c r="H26" s="83">
        <f t="shared" si="9"/>
        <v>0</v>
      </c>
      <c r="I26" s="83">
        <f t="shared" si="9"/>
        <v>0</v>
      </c>
      <c r="J26" s="83">
        <f t="shared" si="9"/>
        <v>0</v>
      </c>
      <c r="K26" s="83">
        <f t="shared" si="9"/>
        <v>0</v>
      </c>
      <c r="L26" s="83">
        <f t="shared" si="9"/>
        <v>0</v>
      </c>
      <c r="M26" s="83">
        <f t="shared" si="9"/>
        <v>0</v>
      </c>
      <c r="N26" s="83">
        <f t="shared" si="9"/>
        <v>0</v>
      </c>
      <c r="O26" s="83">
        <f t="shared" si="9"/>
        <v>0</v>
      </c>
      <c r="P26" s="83">
        <f t="shared" si="9"/>
        <v>0</v>
      </c>
      <c r="Q26" s="83">
        <f t="shared" si="9"/>
        <v>0</v>
      </c>
      <c r="R26" s="25"/>
      <c r="S26" s="4">
        <v>19</v>
      </c>
    </row>
    <row r="27" spans="1:19">
      <c r="A27" s="61" t="s">
        <v>91</v>
      </c>
      <c r="B27" s="5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  <c r="S27" s="4">
        <v>20</v>
      </c>
    </row>
    <row r="28" spans="1:19">
      <c r="A28" s="86" t="s">
        <v>79</v>
      </c>
      <c r="B28" s="19">
        <f>HLOOKUP($B$7,$F$8:$Q$74,S28,FALSE)</f>
        <v>0</v>
      </c>
      <c r="F28" s="29">
        <f>F13</f>
        <v>0</v>
      </c>
      <c r="G28" s="29">
        <f t="shared" ref="G28:Q28" si="10">F28+G13</f>
        <v>0</v>
      </c>
      <c r="H28" s="29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10"/>
        <v>0</v>
      </c>
      <c r="O28" s="29">
        <f t="shared" si="10"/>
        <v>0</v>
      </c>
      <c r="P28" s="29">
        <f t="shared" si="10"/>
        <v>0</v>
      </c>
      <c r="Q28" s="29">
        <f t="shared" si="10"/>
        <v>0</v>
      </c>
      <c r="R28" s="64"/>
      <c r="S28" s="4">
        <v>21</v>
      </c>
    </row>
    <row r="29" spans="1:19">
      <c r="A29" s="86" t="s">
        <v>11</v>
      </c>
      <c r="B29" s="19">
        <f>HLOOKUP($B$7,$F$8:$Q$74,S29,FALSE)</f>
        <v>0</v>
      </c>
      <c r="E29" s="20" t="s">
        <v>30</v>
      </c>
      <c r="F29" s="7">
        <v>0</v>
      </c>
      <c r="G29" s="7">
        <v>0</v>
      </c>
      <c r="H29" s="7">
        <v>0</v>
      </c>
      <c r="I29" s="7">
        <v>0</v>
      </c>
      <c r="J29" s="7"/>
      <c r="K29" s="7"/>
      <c r="L29" s="7"/>
      <c r="M29" s="7"/>
      <c r="N29" s="7"/>
      <c r="O29" s="7"/>
      <c r="P29" s="7"/>
      <c r="Q29" s="7"/>
      <c r="R29" s="64"/>
      <c r="S29" s="4">
        <v>22</v>
      </c>
    </row>
    <row r="30" spans="1:19">
      <c r="A30" s="89" t="s">
        <v>45</v>
      </c>
      <c r="B30" s="51">
        <f>HLOOKUP($B$7,$F$8:$Q$74,S30,FALSE)</f>
        <v>0</v>
      </c>
      <c r="C30" s="92"/>
      <c r="D30" s="92"/>
      <c r="E30" s="92"/>
      <c r="F30" s="95">
        <f t="shared" ref="F30:Q30" si="11">F28+F29</f>
        <v>0</v>
      </c>
      <c r="G30" s="95">
        <f t="shared" si="11"/>
        <v>0</v>
      </c>
      <c r="H30" s="95">
        <f t="shared" si="11"/>
        <v>0</v>
      </c>
      <c r="I30" s="95">
        <f t="shared" si="11"/>
        <v>0</v>
      </c>
      <c r="J30" s="95">
        <f t="shared" si="11"/>
        <v>0</v>
      </c>
      <c r="K30" s="95">
        <f t="shared" si="11"/>
        <v>0</v>
      </c>
      <c r="L30" s="95">
        <f t="shared" si="11"/>
        <v>0</v>
      </c>
      <c r="M30" s="95">
        <f t="shared" si="11"/>
        <v>0</v>
      </c>
      <c r="N30" s="95">
        <f t="shared" si="11"/>
        <v>0</v>
      </c>
      <c r="O30" s="95">
        <f t="shared" si="11"/>
        <v>0</v>
      </c>
      <c r="P30" s="95">
        <f t="shared" si="11"/>
        <v>0</v>
      </c>
      <c r="Q30" s="95">
        <f t="shared" si="11"/>
        <v>0</v>
      </c>
      <c r="R30" s="64"/>
      <c r="S30" s="4">
        <v>23</v>
      </c>
    </row>
    <row r="31" spans="1:19">
      <c r="A31" s="61" t="s">
        <v>59</v>
      </c>
      <c r="B31" s="5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  <c r="S31" s="4">
        <v>24</v>
      </c>
    </row>
    <row r="32" spans="1:19">
      <c r="A32" s="90" t="s">
        <v>50</v>
      </c>
      <c r="B32" s="49">
        <f t="shared" ref="B32:B40" si="12">HLOOKUP($B$7,$F$8:$Q$74,S32,FALSE)</f>
        <v>1144.32</v>
      </c>
      <c r="E32" s="20" t="s">
        <v>28</v>
      </c>
      <c r="F32" s="9">
        <v>721.2</v>
      </c>
      <c r="G32" s="9">
        <v>5687.2699999999995</v>
      </c>
      <c r="H32" s="9">
        <v>2063.37</v>
      </c>
      <c r="I32" s="9">
        <v>1144.32</v>
      </c>
      <c r="J32" s="9"/>
      <c r="K32" s="9"/>
      <c r="L32" s="9"/>
      <c r="M32" s="9"/>
      <c r="N32" s="9"/>
      <c r="O32" s="9"/>
      <c r="P32" s="9"/>
      <c r="Q32" s="9"/>
      <c r="R32" s="85">
        <f t="shared" ref="R32:R38" si="13">SUM(F32:Q32)</f>
        <v>9616.16</v>
      </c>
      <c r="S32" s="4">
        <v>25</v>
      </c>
    </row>
    <row r="33" spans="1:19">
      <c r="A33" s="90" t="s">
        <v>51</v>
      </c>
      <c r="B33" s="49">
        <f t="shared" si="12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si="13"/>
        <v>0</v>
      </c>
      <c r="S33" s="4">
        <v>26</v>
      </c>
    </row>
    <row r="34" spans="1:19">
      <c r="A34" s="90" t="s">
        <v>52</v>
      </c>
      <c r="B34" s="49">
        <f t="shared" si="12"/>
        <v>418.32</v>
      </c>
      <c r="E34" s="20" t="s">
        <v>28</v>
      </c>
      <c r="F34" s="9">
        <v>0</v>
      </c>
      <c r="G34" s="9">
        <v>0</v>
      </c>
      <c r="H34" s="9">
        <v>0</v>
      </c>
      <c r="I34" s="9">
        <v>418.32</v>
      </c>
      <c r="J34" s="9"/>
      <c r="K34" s="9"/>
      <c r="L34" s="9"/>
      <c r="M34" s="9"/>
      <c r="N34" s="9"/>
      <c r="O34" s="9"/>
      <c r="P34" s="9"/>
      <c r="Q34" s="9"/>
      <c r="R34" s="85">
        <f t="shared" si="13"/>
        <v>418.32</v>
      </c>
      <c r="S34" s="4">
        <v>27</v>
      </c>
    </row>
    <row r="35" spans="1:19">
      <c r="A35" s="90" t="s">
        <v>53</v>
      </c>
      <c r="B35" s="49">
        <f t="shared" si="12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3"/>
        <v>0</v>
      </c>
      <c r="S35" s="4">
        <v>28</v>
      </c>
    </row>
    <row r="36" spans="1:19">
      <c r="A36" s="90" t="s">
        <v>54</v>
      </c>
      <c r="B36" s="49">
        <f t="shared" si="12"/>
        <v>0</v>
      </c>
      <c r="E36" s="20" t="s">
        <v>28</v>
      </c>
      <c r="F36" s="9">
        <v>0</v>
      </c>
      <c r="G36" s="9">
        <v>0</v>
      </c>
      <c r="H36" s="9">
        <v>0</v>
      </c>
      <c r="I36" s="9">
        <v>0</v>
      </c>
      <c r="J36" s="9"/>
      <c r="K36" s="9"/>
      <c r="L36" s="9"/>
      <c r="M36" s="9"/>
      <c r="N36" s="9"/>
      <c r="O36" s="9"/>
      <c r="P36" s="9"/>
      <c r="Q36" s="9"/>
      <c r="R36" s="85">
        <f t="shared" si="13"/>
        <v>0</v>
      </c>
      <c r="S36" s="4">
        <v>29</v>
      </c>
    </row>
    <row r="37" spans="1:19">
      <c r="A37" s="90" t="s">
        <v>55</v>
      </c>
      <c r="B37" s="49">
        <f t="shared" si="12"/>
        <v>0</v>
      </c>
      <c r="E37" s="20" t="s">
        <v>28</v>
      </c>
      <c r="F37" s="9">
        <v>0</v>
      </c>
      <c r="G37" s="9">
        <v>0</v>
      </c>
      <c r="H37" s="9">
        <v>4584.0200000000004</v>
      </c>
      <c r="I37" s="9">
        <v>0</v>
      </c>
      <c r="J37" s="9"/>
      <c r="K37" s="9"/>
      <c r="L37" s="9"/>
      <c r="M37" s="9"/>
      <c r="N37" s="9"/>
      <c r="O37" s="9"/>
      <c r="P37" s="9"/>
      <c r="Q37" s="9"/>
      <c r="R37" s="85">
        <f t="shared" si="13"/>
        <v>4584.0200000000004</v>
      </c>
      <c r="S37" s="4">
        <v>30</v>
      </c>
    </row>
    <row r="38" spans="1:19">
      <c r="A38" s="90" t="s">
        <v>56</v>
      </c>
      <c r="B38" s="49">
        <f t="shared" si="12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 t="shared" si="13"/>
        <v>0</v>
      </c>
      <c r="S38" s="4">
        <v>31</v>
      </c>
    </row>
    <row r="39" spans="1:19">
      <c r="A39" s="90" t="s">
        <v>95</v>
      </c>
      <c r="B39" s="49">
        <f t="shared" si="12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/>
      <c r="S39" s="4">
        <v>32</v>
      </c>
    </row>
    <row r="40" spans="1:19">
      <c r="A40" s="89" t="s">
        <v>60</v>
      </c>
      <c r="B40" s="35">
        <f t="shared" si="12"/>
        <v>1562.6399999999999</v>
      </c>
      <c r="C40" s="92"/>
      <c r="D40" s="92"/>
      <c r="E40" s="92"/>
      <c r="F40" s="96">
        <f t="shared" ref="F40:Q40" si="14">SUM(F32:F39)</f>
        <v>721.2</v>
      </c>
      <c r="G40" s="96">
        <f t="shared" si="14"/>
        <v>5687.2699999999995</v>
      </c>
      <c r="H40" s="96">
        <f t="shared" si="14"/>
        <v>6647.39</v>
      </c>
      <c r="I40" s="96">
        <f t="shared" si="14"/>
        <v>1562.6399999999999</v>
      </c>
      <c r="J40" s="96">
        <f t="shared" si="14"/>
        <v>0</v>
      </c>
      <c r="K40" s="96">
        <f t="shared" si="14"/>
        <v>0</v>
      </c>
      <c r="L40" s="96">
        <f t="shared" si="14"/>
        <v>0</v>
      </c>
      <c r="M40" s="96">
        <f t="shared" si="14"/>
        <v>0</v>
      </c>
      <c r="N40" s="96">
        <f t="shared" si="14"/>
        <v>0</v>
      </c>
      <c r="O40" s="96">
        <f t="shared" si="14"/>
        <v>0</v>
      </c>
      <c r="P40" s="96">
        <f t="shared" si="14"/>
        <v>0</v>
      </c>
      <c r="Q40" s="96">
        <f t="shared" si="14"/>
        <v>0</v>
      </c>
      <c r="R40" s="66">
        <f>SUM(F40:Q40)</f>
        <v>14618.5</v>
      </c>
      <c r="S40" s="4">
        <v>33</v>
      </c>
    </row>
    <row r="41" spans="1:19">
      <c r="A41" s="61" t="s">
        <v>96</v>
      </c>
      <c r="B41" s="5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5"/>
      <c r="S41" s="4">
        <v>34</v>
      </c>
    </row>
    <row r="42" spans="1:19">
      <c r="A42" s="90" t="s">
        <v>100</v>
      </c>
      <c r="B42" s="98">
        <f t="shared" ref="B42:B49" si="15">HLOOKUP($B$7,$F$8:$Q$74,S42,FALSE)</f>
        <v>0</v>
      </c>
      <c r="E42" s="20" t="s">
        <v>30</v>
      </c>
      <c r="F42" s="9">
        <v>0</v>
      </c>
      <c r="G42" s="9">
        <v>0</v>
      </c>
      <c r="H42" s="9">
        <v>0</v>
      </c>
      <c r="I42" s="9">
        <v>0</v>
      </c>
      <c r="J42" s="9"/>
      <c r="K42" s="9"/>
      <c r="L42" s="9"/>
      <c r="M42" s="9"/>
      <c r="N42" s="9"/>
      <c r="O42" s="9"/>
      <c r="P42" s="9"/>
      <c r="Q42" s="9"/>
      <c r="R42" s="25"/>
      <c r="S42" s="4">
        <v>35</v>
      </c>
    </row>
    <row r="43" spans="1:19">
      <c r="A43" s="90" t="s">
        <v>101</v>
      </c>
      <c r="B43" s="98">
        <f t="shared" si="15"/>
        <v>0</v>
      </c>
      <c r="E43" s="20" t="s">
        <v>30</v>
      </c>
      <c r="F43" s="9">
        <v>0</v>
      </c>
      <c r="G43" s="9">
        <v>0</v>
      </c>
      <c r="H43" s="9">
        <v>0</v>
      </c>
      <c r="I43" s="9">
        <v>0</v>
      </c>
      <c r="J43" s="9"/>
      <c r="K43" s="9"/>
      <c r="L43" s="9"/>
      <c r="M43" s="9"/>
      <c r="N43" s="9"/>
      <c r="O43" s="9"/>
      <c r="P43" s="9"/>
      <c r="Q43" s="9"/>
      <c r="R43" s="25"/>
      <c r="S43" s="4">
        <v>36</v>
      </c>
    </row>
    <row r="44" spans="1:19">
      <c r="A44" s="90" t="s">
        <v>102</v>
      </c>
      <c r="B44" s="98">
        <f t="shared" si="15"/>
        <v>0</v>
      </c>
      <c r="E44" s="20" t="s">
        <v>30</v>
      </c>
      <c r="F44" s="9">
        <v>0</v>
      </c>
      <c r="G44" s="9">
        <v>0</v>
      </c>
      <c r="H44" s="9">
        <v>0</v>
      </c>
      <c r="I44" s="9">
        <v>0</v>
      </c>
      <c r="J44" s="9"/>
      <c r="K44" s="9"/>
      <c r="L44" s="9"/>
      <c r="M44" s="9"/>
      <c r="N44" s="9"/>
      <c r="O44" s="9"/>
      <c r="P44" s="9"/>
      <c r="Q44" s="9"/>
      <c r="R44" s="25"/>
      <c r="S44" s="4">
        <v>37</v>
      </c>
    </row>
    <row r="45" spans="1:19">
      <c r="A45" s="90" t="s">
        <v>103</v>
      </c>
      <c r="B45" s="98">
        <f t="shared" si="15"/>
        <v>0</v>
      </c>
      <c r="E45" s="20" t="s">
        <v>30</v>
      </c>
      <c r="F45" s="9">
        <v>0</v>
      </c>
      <c r="G45" s="9">
        <v>0</v>
      </c>
      <c r="H45" s="9">
        <v>0</v>
      </c>
      <c r="I45" s="9">
        <v>0</v>
      </c>
      <c r="J45" s="9"/>
      <c r="K45" s="9"/>
      <c r="L45" s="9"/>
      <c r="M45" s="9"/>
      <c r="N45" s="9"/>
      <c r="O45" s="9"/>
      <c r="P45" s="9"/>
      <c r="Q45" s="9"/>
      <c r="R45" s="25"/>
      <c r="S45" s="4">
        <v>38</v>
      </c>
    </row>
    <row r="46" spans="1:19">
      <c r="A46" s="90" t="s">
        <v>104</v>
      </c>
      <c r="B46" s="98">
        <f t="shared" si="15"/>
        <v>0</v>
      </c>
      <c r="E46" s="20" t="s">
        <v>30</v>
      </c>
      <c r="F46" s="9">
        <v>0</v>
      </c>
      <c r="G46" s="9">
        <v>0</v>
      </c>
      <c r="H46" s="9">
        <v>0</v>
      </c>
      <c r="I46" s="9">
        <v>0</v>
      </c>
      <c r="J46" s="9"/>
      <c r="K46" s="9"/>
      <c r="L46" s="9"/>
      <c r="M46" s="9"/>
      <c r="N46" s="9"/>
      <c r="O46" s="9"/>
      <c r="P46" s="9"/>
      <c r="Q46" s="9"/>
      <c r="R46" s="25"/>
      <c r="S46" s="4">
        <v>39</v>
      </c>
    </row>
    <row r="47" spans="1:19">
      <c r="A47" s="90" t="s">
        <v>105</v>
      </c>
      <c r="B47" s="98">
        <f t="shared" si="15"/>
        <v>0</v>
      </c>
      <c r="E47" s="20" t="s">
        <v>30</v>
      </c>
      <c r="F47" s="9">
        <v>0</v>
      </c>
      <c r="G47" s="9">
        <v>0</v>
      </c>
      <c r="H47" s="9">
        <v>0</v>
      </c>
      <c r="I47" s="9">
        <v>0</v>
      </c>
      <c r="J47" s="9"/>
      <c r="K47" s="9"/>
      <c r="L47" s="9"/>
      <c r="M47" s="9"/>
      <c r="N47" s="9"/>
      <c r="O47" s="9"/>
      <c r="P47" s="9"/>
      <c r="Q47" s="9"/>
      <c r="R47" s="25"/>
      <c r="S47" s="4">
        <v>40</v>
      </c>
    </row>
    <row r="48" spans="1:19">
      <c r="A48" s="90" t="s">
        <v>106</v>
      </c>
      <c r="B48" s="98">
        <f t="shared" si="15"/>
        <v>0</v>
      </c>
      <c r="E48" s="20" t="s">
        <v>30</v>
      </c>
      <c r="F48" s="9">
        <v>0</v>
      </c>
      <c r="G48" s="9">
        <v>0</v>
      </c>
      <c r="H48" s="9">
        <v>0</v>
      </c>
      <c r="I48" s="9">
        <v>0</v>
      </c>
      <c r="J48" s="9"/>
      <c r="K48" s="9"/>
      <c r="L48" s="9"/>
      <c r="M48" s="9"/>
      <c r="N48" s="9"/>
      <c r="O48" s="9"/>
      <c r="P48" s="9"/>
      <c r="Q48" s="9"/>
      <c r="R48" s="25"/>
      <c r="S48" s="4">
        <v>41</v>
      </c>
    </row>
    <row r="49" spans="1:19">
      <c r="A49" s="90" t="s">
        <v>107</v>
      </c>
      <c r="B49" s="98">
        <f t="shared" si="15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5"/>
      <c r="S49" s="4">
        <v>42</v>
      </c>
    </row>
    <row r="50" spans="1:19">
      <c r="A50" s="61" t="s">
        <v>62</v>
      </c>
      <c r="B50" s="5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4">
        <v>43</v>
      </c>
    </row>
    <row r="51" spans="1:19">
      <c r="A51" s="1" t="s">
        <v>71</v>
      </c>
      <c r="B51" s="31">
        <f t="shared" ref="B51:B58" si="16">HLOOKUP($B$7,$F$8:$Q$74,S51,FALSE)</f>
        <v>1337143</v>
      </c>
      <c r="F51" s="32">
        <f t="shared" ref="F51:Q51" si="17">$F$4+$F$5</f>
        <v>1337143</v>
      </c>
      <c r="G51" s="32">
        <f t="shared" si="17"/>
        <v>1337143</v>
      </c>
      <c r="H51" s="32">
        <f t="shared" si="17"/>
        <v>1337143</v>
      </c>
      <c r="I51" s="32">
        <f t="shared" si="17"/>
        <v>1337143</v>
      </c>
      <c r="J51" s="32">
        <f t="shared" si="17"/>
        <v>1337143</v>
      </c>
      <c r="K51" s="32">
        <f t="shared" si="17"/>
        <v>1337143</v>
      </c>
      <c r="L51" s="32">
        <f t="shared" si="17"/>
        <v>1337143</v>
      </c>
      <c r="M51" s="32">
        <f t="shared" si="17"/>
        <v>1337143</v>
      </c>
      <c r="N51" s="32">
        <f t="shared" si="17"/>
        <v>1337143</v>
      </c>
      <c r="O51" s="32">
        <f t="shared" si="17"/>
        <v>1337143</v>
      </c>
      <c r="P51" s="32">
        <f t="shared" si="17"/>
        <v>1337143</v>
      </c>
      <c r="Q51" s="32">
        <f t="shared" si="17"/>
        <v>1337143</v>
      </c>
      <c r="R51" s="62"/>
      <c r="S51" s="4">
        <v>44</v>
      </c>
    </row>
    <row r="52" spans="1:19">
      <c r="A52" s="1" t="s">
        <v>72</v>
      </c>
      <c r="B52" s="31">
        <f t="shared" si="16"/>
        <v>445714.33333333331</v>
      </c>
      <c r="F52" s="33">
        <f t="shared" ref="F52:Q52" si="18">F51*(F9/12)</f>
        <v>111428.58333333333</v>
      </c>
      <c r="G52" s="33">
        <f t="shared" si="18"/>
        <v>222857.16666666666</v>
      </c>
      <c r="H52" s="33">
        <f t="shared" si="18"/>
        <v>334285.75</v>
      </c>
      <c r="I52" s="33">
        <f t="shared" si="18"/>
        <v>445714.33333333331</v>
      </c>
      <c r="J52" s="33">
        <f t="shared" si="18"/>
        <v>557142.91666666674</v>
      </c>
      <c r="K52" s="33">
        <f t="shared" si="18"/>
        <v>668571.5</v>
      </c>
      <c r="L52" s="33">
        <f t="shared" si="18"/>
        <v>780000.08333333337</v>
      </c>
      <c r="M52" s="33">
        <f t="shared" si="18"/>
        <v>891428.66666666663</v>
      </c>
      <c r="N52" s="33">
        <f t="shared" si="18"/>
        <v>1002857.25</v>
      </c>
      <c r="O52" s="33">
        <f t="shared" si="18"/>
        <v>1114285.8333333335</v>
      </c>
      <c r="P52" s="33">
        <f t="shared" si="18"/>
        <v>1225714.4166666665</v>
      </c>
      <c r="Q52" s="33">
        <f t="shared" si="18"/>
        <v>1337143</v>
      </c>
      <c r="R52" s="64"/>
      <c r="S52" s="4">
        <v>45</v>
      </c>
    </row>
    <row r="53" spans="1:19">
      <c r="A53" s="86" t="s">
        <v>67</v>
      </c>
      <c r="B53" s="98">
        <f t="shared" si="16"/>
        <v>14618.5</v>
      </c>
      <c r="F53" s="37">
        <f>F40</f>
        <v>721.2</v>
      </c>
      <c r="G53" s="37">
        <f t="shared" ref="G53:Q53" si="19">F53+G40</f>
        <v>6408.4699999999993</v>
      </c>
      <c r="H53" s="37">
        <f t="shared" si="19"/>
        <v>13055.86</v>
      </c>
      <c r="I53" s="37">
        <f t="shared" si="19"/>
        <v>14618.5</v>
      </c>
      <c r="J53" s="37">
        <f t="shared" si="19"/>
        <v>14618.5</v>
      </c>
      <c r="K53" s="37">
        <f t="shared" si="19"/>
        <v>14618.5</v>
      </c>
      <c r="L53" s="37">
        <f t="shared" si="19"/>
        <v>14618.5</v>
      </c>
      <c r="M53" s="37">
        <f t="shared" si="19"/>
        <v>14618.5</v>
      </c>
      <c r="N53" s="37">
        <f t="shared" si="19"/>
        <v>14618.5</v>
      </c>
      <c r="O53" s="37">
        <f t="shared" si="19"/>
        <v>14618.5</v>
      </c>
      <c r="P53" s="37">
        <f t="shared" si="19"/>
        <v>14618.5</v>
      </c>
      <c r="Q53" s="37">
        <f t="shared" si="19"/>
        <v>14618.5</v>
      </c>
      <c r="R53" s="67"/>
      <c r="S53" s="4">
        <v>46</v>
      </c>
    </row>
    <row r="54" spans="1:19">
      <c r="A54" s="86" t="s">
        <v>16</v>
      </c>
      <c r="B54" s="98">
        <f t="shared" si="16"/>
        <v>0</v>
      </c>
      <c r="E54" s="3"/>
      <c r="F54" s="37">
        <f t="shared" ref="F54:Q54" si="20">SUM(F42:F49)</f>
        <v>0</v>
      </c>
      <c r="G54" s="37">
        <f t="shared" si="20"/>
        <v>0</v>
      </c>
      <c r="H54" s="37">
        <f t="shared" si="20"/>
        <v>0</v>
      </c>
      <c r="I54" s="37">
        <f t="shared" si="20"/>
        <v>0</v>
      </c>
      <c r="J54" s="37">
        <f t="shared" si="20"/>
        <v>0</v>
      </c>
      <c r="K54" s="37">
        <f t="shared" si="20"/>
        <v>0</v>
      </c>
      <c r="L54" s="37">
        <f t="shared" si="20"/>
        <v>0</v>
      </c>
      <c r="M54" s="37">
        <f t="shared" si="20"/>
        <v>0</v>
      </c>
      <c r="N54" s="37">
        <f t="shared" si="20"/>
        <v>0</v>
      </c>
      <c r="O54" s="37">
        <f t="shared" si="20"/>
        <v>0</v>
      </c>
      <c r="P54" s="37">
        <f t="shared" si="20"/>
        <v>0</v>
      </c>
      <c r="Q54" s="37">
        <f t="shared" si="20"/>
        <v>0</v>
      </c>
      <c r="R54" s="67"/>
      <c r="S54" s="4">
        <v>47</v>
      </c>
    </row>
    <row r="55" spans="1:19">
      <c r="A55" s="91" t="s">
        <v>68</v>
      </c>
      <c r="B55" s="35">
        <f t="shared" si="16"/>
        <v>14618.5</v>
      </c>
      <c r="C55" s="92"/>
      <c r="D55" s="92"/>
      <c r="E55" s="93"/>
      <c r="F55" s="36">
        <f t="shared" ref="F55:Q55" si="21">F53+F54</f>
        <v>721.2</v>
      </c>
      <c r="G55" s="36">
        <f t="shared" si="21"/>
        <v>6408.4699999999993</v>
      </c>
      <c r="H55" s="36">
        <f t="shared" si="21"/>
        <v>13055.86</v>
      </c>
      <c r="I55" s="36">
        <f t="shared" si="21"/>
        <v>14618.5</v>
      </c>
      <c r="J55" s="36">
        <f t="shared" si="21"/>
        <v>14618.5</v>
      </c>
      <c r="K55" s="36">
        <f t="shared" si="21"/>
        <v>14618.5</v>
      </c>
      <c r="L55" s="36">
        <f t="shared" si="21"/>
        <v>14618.5</v>
      </c>
      <c r="M55" s="36">
        <f t="shared" si="21"/>
        <v>14618.5</v>
      </c>
      <c r="N55" s="36">
        <f t="shared" si="21"/>
        <v>14618.5</v>
      </c>
      <c r="O55" s="36">
        <f t="shared" si="21"/>
        <v>14618.5</v>
      </c>
      <c r="P55" s="36">
        <f t="shared" si="21"/>
        <v>14618.5</v>
      </c>
      <c r="Q55" s="36">
        <f t="shared" si="21"/>
        <v>14618.5</v>
      </c>
      <c r="R55" s="67"/>
      <c r="S55" s="4">
        <v>48</v>
      </c>
    </row>
    <row r="56" spans="1:19">
      <c r="A56" s="86" t="s">
        <v>84</v>
      </c>
      <c r="B56" s="88">
        <f t="shared" si="16"/>
        <v>1.0932637720872038E-2</v>
      </c>
      <c r="F56" s="88">
        <f t="shared" ref="F56:Q56" si="22">F53/F51</f>
        <v>5.3935891673515847E-4</v>
      </c>
      <c r="G56" s="88">
        <f t="shared" si="22"/>
        <v>4.7926586759980041E-3</v>
      </c>
      <c r="H56" s="88">
        <f t="shared" si="22"/>
        <v>9.7639968200858105E-3</v>
      </c>
      <c r="I56" s="88">
        <f t="shared" si="22"/>
        <v>1.0932637720872038E-2</v>
      </c>
      <c r="J56" s="88">
        <f t="shared" si="22"/>
        <v>1.0932637720872038E-2</v>
      </c>
      <c r="K56" s="88">
        <f t="shared" si="22"/>
        <v>1.0932637720872038E-2</v>
      </c>
      <c r="L56" s="88">
        <f t="shared" si="22"/>
        <v>1.0932637720872038E-2</v>
      </c>
      <c r="M56" s="88">
        <f t="shared" si="22"/>
        <v>1.0932637720872038E-2</v>
      </c>
      <c r="N56" s="88">
        <f t="shared" si="22"/>
        <v>1.0932637720872038E-2</v>
      </c>
      <c r="O56" s="88">
        <f t="shared" si="22"/>
        <v>1.0932637720872038E-2</v>
      </c>
      <c r="P56" s="88">
        <f t="shared" si="22"/>
        <v>1.0932637720872038E-2</v>
      </c>
      <c r="Q56" s="88">
        <f t="shared" si="22"/>
        <v>1.0932637720872038E-2</v>
      </c>
      <c r="R56" s="97"/>
      <c r="S56" s="4">
        <v>49</v>
      </c>
    </row>
    <row r="57" spans="1:19">
      <c r="A57" s="86" t="s">
        <v>85</v>
      </c>
      <c r="B57" s="88">
        <f t="shared" si="16"/>
        <v>1.0932637720872038E-2</v>
      </c>
      <c r="F57" s="88">
        <f t="shared" ref="F57:Q57" si="23">F55/F51</f>
        <v>5.3935891673515847E-4</v>
      </c>
      <c r="G57" s="88">
        <f t="shared" si="23"/>
        <v>4.7926586759980041E-3</v>
      </c>
      <c r="H57" s="88">
        <f t="shared" si="23"/>
        <v>9.7639968200858105E-3</v>
      </c>
      <c r="I57" s="88">
        <f t="shared" si="23"/>
        <v>1.0932637720872038E-2</v>
      </c>
      <c r="J57" s="88">
        <f t="shared" si="23"/>
        <v>1.0932637720872038E-2</v>
      </c>
      <c r="K57" s="88">
        <f t="shared" si="23"/>
        <v>1.0932637720872038E-2</v>
      </c>
      <c r="L57" s="88">
        <f t="shared" si="23"/>
        <v>1.0932637720872038E-2</v>
      </c>
      <c r="M57" s="88">
        <f t="shared" si="23"/>
        <v>1.0932637720872038E-2</v>
      </c>
      <c r="N57" s="88">
        <f t="shared" si="23"/>
        <v>1.0932637720872038E-2</v>
      </c>
      <c r="O57" s="88">
        <f t="shared" si="23"/>
        <v>1.0932637720872038E-2</v>
      </c>
      <c r="P57" s="88">
        <f t="shared" si="23"/>
        <v>1.0932637720872038E-2</v>
      </c>
      <c r="Q57" s="88">
        <f t="shared" si="23"/>
        <v>1.0932637720872038E-2</v>
      </c>
      <c r="R57" s="97"/>
      <c r="S57" s="4">
        <v>50</v>
      </c>
    </row>
    <row r="58" spans="1:19">
      <c r="A58" s="86" t="s">
        <v>86</v>
      </c>
      <c r="B58" s="88">
        <f t="shared" si="16"/>
        <v>3.279791316261612E-2</v>
      </c>
      <c r="F58" s="88">
        <f t="shared" ref="F58:Q58" si="24">F53/F52</f>
        <v>6.4723070008219025E-3</v>
      </c>
      <c r="G58" s="88">
        <f t="shared" si="24"/>
        <v>2.8755952055988028E-2</v>
      </c>
      <c r="H58" s="88">
        <f t="shared" si="24"/>
        <v>3.9055987280343242E-2</v>
      </c>
      <c r="I58" s="88">
        <f t="shared" si="24"/>
        <v>3.279791316261612E-2</v>
      </c>
      <c r="J58" s="88">
        <f t="shared" si="24"/>
        <v>2.6238330530092887E-2</v>
      </c>
      <c r="K58" s="88">
        <f t="shared" si="24"/>
        <v>2.1865275441744075E-2</v>
      </c>
      <c r="L58" s="88">
        <f t="shared" si="24"/>
        <v>1.8741664664352065E-2</v>
      </c>
      <c r="M58" s="88">
        <f t="shared" si="24"/>
        <v>1.639895658130806E-2</v>
      </c>
      <c r="N58" s="88">
        <f t="shared" si="24"/>
        <v>1.4576850294496051E-2</v>
      </c>
      <c r="O58" s="88">
        <f t="shared" si="24"/>
        <v>1.3119165265046443E-2</v>
      </c>
      <c r="P58" s="88">
        <f t="shared" si="24"/>
        <v>1.1926513877314953E-2</v>
      </c>
      <c r="Q58" s="88">
        <f t="shared" si="24"/>
        <v>1.0932637720872038E-2</v>
      </c>
      <c r="R58" s="97"/>
      <c r="S58" s="4">
        <v>51</v>
      </c>
    </row>
    <row r="59" spans="1:19">
      <c r="A59" s="61" t="s">
        <v>58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7"/>
      <c r="S59" s="4">
        <v>52</v>
      </c>
    </row>
    <row r="60" spans="1:19">
      <c r="A60" s="1" t="s">
        <v>64</v>
      </c>
      <c r="B60" s="31">
        <f>HLOOKUP($B$7,$F$8:$Q$74,S60,FALSE)</f>
        <v>5348572</v>
      </c>
      <c r="F60" s="102">
        <f t="shared" ref="F60:Q60" si="25">SUM($F$4:$I$4)+$F$5</f>
        <v>5348572</v>
      </c>
      <c r="G60" s="102">
        <f t="shared" si="25"/>
        <v>5348572</v>
      </c>
      <c r="H60" s="102">
        <f t="shared" si="25"/>
        <v>5348572</v>
      </c>
      <c r="I60" s="102">
        <f t="shared" si="25"/>
        <v>5348572</v>
      </c>
      <c r="J60" s="102">
        <f t="shared" si="25"/>
        <v>5348572</v>
      </c>
      <c r="K60" s="102">
        <f t="shared" si="25"/>
        <v>5348572</v>
      </c>
      <c r="L60" s="102">
        <f t="shared" si="25"/>
        <v>5348572</v>
      </c>
      <c r="M60" s="102">
        <f t="shared" si="25"/>
        <v>5348572</v>
      </c>
      <c r="N60" s="102">
        <f t="shared" si="25"/>
        <v>5348572</v>
      </c>
      <c r="O60" s="102">
        <f t="shared" si="25"/>
        <v>5348572</v>
      </c>
      <c r="P60" s="102">
        <f t="shared" si="25"/>
        <v>5348572</v>
      </c>
      <c r="Q60" s="102">
        <f t="shared" si="25"/>
        <v>5348572</v>
      </c>
      <c r="R60" s="97"/>
      <c r="S60" s="4">
        <v>53</v>
      </c>
    </row>
    <row r="61" spans="1:19">
      <c r="A61" s="86" t="s">
        <v>70</v>
      </c>
      <c r="B61" s="98">
        <f>HLOOKUP($B$7,$F$8:$Q$74,S61,FALSE)</f>
        <v>14618.5</v>
      </c>
      <c r="F61" s="101">
        <f t="shared" ref="F61:Q61" si="26">F53</f>
        <v>721.2</v>
      </c>
      <c r="G61" s="101">
        <f t="shared" si="26"/>
        <v>6408.4699999999993</v>
      </c>
      <c r="H61" s="101">
        <f t="shared" si="26"/>
        <v>13055.86</v>
      </c>
      <c r="I61" s="101">
        <f t="shared" si="26"/>
        <v>14618.5</v>
      </c>
      <c r="J61" s="101">
        <f t="shared" si="26"/>
        <v>14618.5</v>
      </c>
      <c r="K61" s="101">
        <f t="shared" si="26"/>
        <v>14618.5</v>
      </c>
      <c r="L61" s="101">
        <f t="shared" si="26"/>
        <v>14618.5</v>
      </c>
      <c r="M61" s="101">
        <f t="shared" si="26"/>
        <v>14618.5</v>
      </c>
      <c r="N61" s="101">
        <f t="shared" si="26"/>
        <v>14618.5</v>
      </c>
      <c r="O61" s="101">
        <f t="shared" si="26"/>
        <v>14618.5</v>
      </c>
      <c r="P61" s="101">
        <f t="shared" si="26"/>
        <v>14618.5</v>
      </c>
      <c r="Q61" s="101">
        <f t="shared" si="26"/>
        <v>14618.5</v>
      </c>
      <c r="R61" s="97"/>
      <c r="S61" s="4">
        <v>54</v>
      </c>
    </row>
    <row r="62" spans="1:19">
      <c r="A62" s="91" t="s">
        <v>69</v>
      </c>
      <c r="B62" s="106">
        <f>HLOOKUP($B$7,$F$8:$Q$74,S62,FALSE)</f>
        <v>14618.5</v>
      </c>
      <c r="F62" s="35">
        <f t="shared" ref="F62:Q62" si="27">F61+F54</f>
        <v>721.2</v>
      </c>
      <c r="G62" s="35">
        <f t="shared" si="27"/>
        <v>6408.4699999999993</v>
      </c>
      <c r="H62" s="35">
        <f t="shared" si="27"/>
        <v>13055.86</v>
      </c>
      <c r="I62" s="35">
        <f t="shared" si="27"/>
        <v>14618.5</v>
      </c>
      <c r="J62" s="35">
        <f t="shared" si="27"/>
        <v>14618.5</v>
      </c>
      <c r="K62" s="35">
        <f t="shared" si="27"/>
        <v>14618.5</v>
      </c>
      <c r="L62" s="35">
        <f t="shared" si="27"/>
        <v>14618.5</v>
      </c>
      <c r="M62" s="35">
        <f t="shared" si="27"/>
        <v>14618.5</v>
      </c>
      <c r="N62" s="35">
        <f t="shared" si="27"/>
        <v>14618.5</v>
      </c>
      <c r="O62" s="35">
        <f t="shared" si="27"/>
        <v>14618.5</v>
      </c>
      <c r="P62" s="35">
        <f t="shared" si="27"/>
        <v>14618.5</v>
      </c>
      <c r="Q62" s="35">
        <f t="shared" si="27"/>
        <v>14618.5</v>
      </c>
      <c r="R62" s="97"/>
      <c r="S62" s="4">
        <v>55</v>
      </c>
    </row>
    <row r="63" spans="1:19">
      <c r="A63" s="86" t="s">
        <v>65</v>
      </c>
      <c r="B63" s="88">
        <f>HLOOKUP($B$7,$F$8:$Q$74,S63,FALSE)</f>
        <v>2.7331594302180094E-3</v>
      </c>
      <c r="F63" s="88">
        <f t="shared" ref="F63:Q63" si="28">F61/F60</f>
        <v>1.3483972918378962E-4</v>
      </c>
      <c r="G63" s="88">
        <f t="shared" si="28"/>
        <v>1.198164668999501E-3</v>
      </c>
      <c r="H63" s="88">
        <f t="shared" si="28"/>
        <v>2.4409992050214526E-3</v>
      </c>
      <c r="I63" s="88">
        <f t="shared" si="28"/>
        <v>2.7331594302180094E-3</v>
      </c>
      <c r="J63" s="88">
        <f t="shared" si="28"/>
        <v>2.7331594302180094E-3</v>
      </c>
      <c r="K63" s="88">
        <f t="shared" si="28"/>
        <v>2.7331594302180094E-3</v>
      </c>
      <c r="L63" s="88">
        <f t="shared" si="28"/>
        <v>2.7331594302180094E-3</v>
      </c>
      <c r="M63" s="88">
        <f t="shared" si="28"/>
        <v>2.7331594302180094E-3</v>
      </c>
      <c r="N63" s="88">
        <f t="shared" si="28"/>
        <v>2.7331594302180094E-3</v>
      </c>
      <c r="O63" s="88">
        <f t="shared" si="28"/>
        <v>2.7331594302180094E-3</v>
      </c>
      <c r="P63" s="88">
        <f t="shared" si="28"/>
        <v>2.7331594302180094E-3</v>
      </c>
      <c r="Q63" s="88">
        <f t="shared" si="28"/>
        <v>2.7331594302180094E-3</v>
      </c>
      <c r="R63" s="97"/>
      <c r="S63" s="4">
        <v>56</v>
      </c>
    </row>
    <row r="64" spans="1:19">
      <c r="A64" s="86" t="s">
        <v>66</v>
      </c>
      <c r="B64" s="88">
        <f>HLOOKUP($B$7,$F$8:$Q$74,S64,FALSE)</f>
        <v>2.7331594302180094E-3</v>
      </c>
      <c r="F64" s="88">
        <f t="shared" ref="F64:Q64" si="29">F62/F60</f>
        <v>1.3483972918378962E-4</v>
      </c>
      <c r="G64" s="88">
        <f t="shared" si="29"/>
        <v>1.198164668999501E-3</v>
      </c>
      <c r="H64" s="88">
        <f t="shared" si="29"/>
        <v>2.4409992050214526E-3</v>
      </c>
      <c r="I64" s="88">
        <f t="shared" si="29"/>
        <v>2.7331594302180094E-3</v>
      </c>
      <c r="J64" s="88">
        <f t="shared" si="29"/>
        <v>2.7331594302180094E-3</v>
      </c>
      <c r="K64" s="88">
        <f t="shared" si="29"/>
        <v>2.7331594302180094E-3</v>
      </c>
      <c r="L64" s="88">
        <f t="shared" si="29"/>
        <v>2.7331594302180094E-3</v>
      </c>
      <c r="M64" s="88">
        <f t="shared" si="29"/>
        <v>2.7331594302180094E-3</v>
      </c>
      <c r="N64" s="88">
        <f t="shared" si="29"/>
        <v>2.7331594302180094E-3</v>
      </c>
      <c r="O64" s="88">
        <f t="shared" si="29"/>
        <v>2.7331594302180094E-3</v>
      </c>
      <c r="P64" s="88">
        <f t="shared" si="29"/>
        <v>2.7331594302180094E-3</v>
      </c>
      <c r="Q64" s="88">
        <f t="shared" si="29"/>
        <v>2.7331594302180094E-3</v>
      </c>
      <c r="R64" s="97"/>
      <c r="S64" s="4">
        <v>57</v>
      </c>
    </row>
    <row r="65" spans="1:20">
      <c r="A65" s="61" t="s">
        <v>17</v>
      </c>
      <c r="B65" s="5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5"/>
      <c r="S65" s="4">
        <v>58</v>
      </c>
    </row>
    <row r="66" spans="1:20">
      <c r="A66" s="18" t="s">
        <v>18</v>
      </c>
      <c r="B66" s="40">
        <f>HLOOKUP($B$7,$F$8:$Q$74,S66,FALSE)</f>
        <v>0</v>
      </c>
      <c r="E66" s="20" t="s">
        <v>36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20">
      <c r="A67" s="18" t="s">
        <v>19</v>
      </c>
      <c r="B67" s="40">
        <f>HLOOKUP($B$7,$F$8:$Q$74,S67,FALSE)</f>
        <v>0</v>
      </c>
      <c r="E67" s="20" t="s">
        <v>36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20">
      <c r="A68" s="18" t="s">
        <v>20</v>
      </c>
      <c r="B68" s="40">
        <f>HLOOKUP($B$7,$F$8:$Q$74,S68,FALSE)</f>
        <v>0</v>
      </c>
      <c r="E68" s="20" t="s">
        <v>36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20">
      <c r="A69" s="18" t="s">
        <v>21</v>
      </c>
      <c r="B69" s="40">
        <f>HLOOKUP($B$7,$F$8:$Q$74,S69,FALSE)</f>
        <v>0</v>
      </c>
      <c r="E69" s="20" t="s">
        <v>37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20">
      <c r="A70" s="61" t="s">
        <v>8</v>
      </c>
      <c r="B70" s="5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5"/>
      <c r="S70" s="4">
        <v>63</v>
      </c>
    </row>
    <row r="71" spans="1:20">
      <c r="A71" s="18" t="s">
        <v>1</v>
      </c>
      <c r="B71" s="19">
        <f>HLOOKUP($B$7,$F$8:$Q$74,S71,FALSE)</f>
        <v>0</v>
      </c>
      <c r="E71" s="20" t="s">
        <v>30</v>
      </c>
      <c r="F71" s="7">
        <v>20</v>
      </c>
      <c r="G71" s="7">
        <v>0</v>
      </c>
      <c r="H71" s="7">
        <v>0</v>
      </c>
      <c r="I71" s="7">
        <v>0</v>
      </c>
      <c r="J71" s="7"/>
      <c r="K71" s="7"/>
      <c r="L71" s="7"/>
      <c r="M71" s="7"/>
      <c r="N71" s="7"/>
      <c r="O71" s="7"/>
      <c r="P71" s="7"/>
      <c r="Q71" s="7"/>
      <c r="R71" s="25"/>
      <c r="S71" s="4">
        <v>64</v>
      </c>
    </row>
    <row r="72" spans="1:20">
      <c r="A72" s="18" t="s">
        <v>38</v>
      </c>
      <c r="B72" s="19">
        <f>HLOOKUP($B$7,$F$8:$Q$74,S72,FALSE)</f>
        <v>0</v>
      </c>
      <c r="E72" s="20" t="s">
        <v>30</v>
      </c>
      <c r="F72" s="7">
        <v>0</v>
      </c>
      <c r="G72" s="7">
        <v>0</v>
      </c>
      <c r="H72" s="7">
        <v>0</v>
      </c>
      <c r="I72" s="7">
        <v>0</v>
      </c>
      <c r="J72" s="7"/>
      <c r="K72" s="7"/>
      <c r="L72" s="7"/>
      <c r="M72" s="7"/>
      <c r="N72" s="7"/>
      <c r="O72" s="7"/>
      <c r="P72" s="7"/>
      <c r="Q72" s="7"/>
      <c r="R72" s="25"/>
      <c r="S72" s="4">
        <v>65</v>
      </c>
    </row>
    <row r="73" spans="1:20" s="4" customFormat="1">
      <c r="A73" s="61" t="s">
        <v>32</v>
      </c>
      <c r="B73" s="59"/>
      <c r="C73" s="41"/>
      <c r="E73" s="4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5"/>
      <c r="S73" s="4">
        <v>66</v>
      </c>
    </row>
    <row r="74" spans="1:20" s="4" customFormat="1">
      <c r="A74" s="18" t="s">
        <v>33</v>
      </c>
      <c r="B74" s="19">
        <f>HLOOKUP($B$7,$F$8:$Q$74,S74,FALSE)</f>
        <v>1040</v>
      </c>
      <c r="C74" s="41"/>
      <c r="E74" s="20" t="s">
        <v>34</v>
      </c>
      <c r="F74" s="42">
        <f>F3</f>
        <v>1040</v>
      </c>
      <c r="G74" s="42">
        <f>F74</f>
        <v>1040</v>
      </c>
      <c r="H74" s="43">
        <f>G74</f>
        <v>1040</v>
      </c>
      <c r="I74" s="42">
        <f>H74</f>
        <v>1040</v>
      </c>
      <c r="J74" s="42"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5"/>
      <c r="S74" s="4">
        <v>67</v>
      </c>
    </row>
    <row r="75" spans="1:20" s="164" customFormat="1">
      <c r="A75" s="18" t="s">
        <v>146</v>
      </c>
      <c r="B75" s="19">
        <f>HLOOKUP($B$7,$F$8:$Q$75,S75,FALSE)</f>
        <v>0</v>
      </c>
      <c r="C75" s="41"/>
      <c r="D75" s="4"/>
      <c r="E75" s="20" t="s">
        <v>34</v>
      </c>
      <c r="F75" s="42">
        <v>0</v>
      </c>
      <c r="G75" s="42">
        <v>0</v>
      </c>
      <c r="H75" s="43">
        <f t="shared" ref="H75:I75" si="30">G75</f>
        <v>0</v>
      </c>
      <c r="I75" s="42">
        <f t="shared" si="30"/>
        <v>0</v>
      </c>
      <c r="J75" s="42">
        <v>0</v>
      </c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5"/>
      <c r="S75" s="4">
        <v>68</v>
      </c>
      <c r="T75" s="4"/>
    </row>
    <row r="76" spans="1:20" s="4" customFormat="1" ht="9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20" s="4" customFormat="1">
      <c r="A77" s="72" t="s">
        <v>43</v>
      </c>
      <c r="B77" s="69"/>
      <c r="C77" s="41"/>
      <c r="R77" s="68"/>
    </row>
    <row r="78" spans="1:20" s="4" customFormat="1">
      <c r="A78" s="61" t="s">
        <v>31</v>
      </c>
      <c r="B78" s="12"/>
      <c r="C78" s="41"/>
      <c r="R78" s="68"/>
    </row>
    <row r="79" spans="1:20" s="4" customFormat="1">
      <c r="A79" s="84" t="str">
        <f>VLOOKUP(B7,E88:T99,2,FALSE)</f>
        <v>Program not started yet.</v>
      </c>
      <c r="B79" s="70"/>
      <c r="C79" s="41"/>
      <c r="R79" s="68"/>
    </row>
    <row r="80" spans="1:20" s="4" customFormat="1">
      <c r="A80" s="61" t="s">
        <v>40</v>
      </c>
      <c r="B80" s="12"/>
      <c r="C80" s="41"/>
      <c r="R80" s="68"/>
    </row>
    <row r="81" spans="1:20" s="4" customFormat="1">
      <c r="A81" s="84">
        <f>VLOOKUP(B7,E88:T99,6,FALSE)</f>
        <v>0</v>
      </c>
      <c r="B81" s="71"/>
      <c r="C81" s="41"/>
      <c r="R81" s="68"/>
    </row>
    <row r="82" spans="1:20" s="4" customFormat="1">
      <c r="A82" s="61" t="s">
        <v>44</v>
      </c>
      <c r="B82" s="12"/>
      <c r="C82" s="41"/>
      <c r="R82" s="68"/>
    </row>
    <row r="83" spans="1:20" s="4" customFormat="1" ht="15" customHeight="1">
      <c r="A83" s="84">
        <f>VLOOKUP(B7,E88:T99,10,FALSE)</f>
        <v>0</v>
      </c>
      <c r="B83" s="73"/>
      <c r="C83" s="41"/>
      <c r="R83" s="68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20">
      <c r="A86" s="7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0"/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 t="s">
        <v>131</v>
      </c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5" t="s">
        <v>140</v>
      </c>
      <c r="S88" s="175"/>
      <c r="T88" s="175"/>
    </row>
    <row r="89" spans="1:20">
      <c r="D89" s="41"/>
      <c r="E89" s="14">
        <v>40940</v>
      </c>
      <c r="F89" s="174" t="s">
        <v>134</v>
      </c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5"/>
      <c r="S89" s="175"/>
      <c r="T89" s="175"/>
    </row>
    <row r="90" spans="1:20">
      <c r="D90" s="41"/>
      <c r="E90" s="14">
        <v>40969</v>
      </c>
      <c r="F90" s="174" t="s">
        <v>134</v>
      </c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/>
      <c r="S90" s="171"/>
      <c r="T90" s="171"/>
    </row>
    <row r="91" spans="1:20">
      <c r="D91" s="41"/>
      <c r="E91" s="14">
        <v>41000</v>
      </c>
      <c r="F91" s="174" t="s">
        <v>134</v>
      </c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1"/>
      <c r="S91" s="171"/>
      <c r="T91" s="171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 s="3" customFormat="1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 s="3" customFormat="1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 s="3" customFormat="1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</sheetData>
  <mergeCells count="54">
    <mergeCell ref="J90:M90"/>
    <mergeCell ref="N90:Q90"/>
    <mergeCell ref="F91:I91"/>
    <mergeCell ref="J91:M91"/>
    <mergeCell ref="N91:Q91"/>
    <mergeCell ref="F90:I90"/>
    <mergeCell ref="J92:M92"/>
    <mergeCell ref="N92:Q92"/>
    <mergeCell ref="F93:I93"/>
    <mergeCell ref="J93:M93"/>
    <mergeCell ref="N93:Q93"/>
    <mergeCell ref="F92:I92"/>
    <mergeCell ref="J96:M96"/>
    <mergeCell ref="N96:Q96"/>
    <mergeCell ref="F97:I97"/>
    <mergeCell ref="J97:M97"/>
    <mergeCell ref="N97:Q97"/>
    <mergeCell ref="F96:I96"/>
    <mergeCell ref="J94:M94"/>
    <mergeCell ref="N94:Q94"/>
    <mergeCell ref="F95:I95"/>
    <mergeCell ref="J95:M95"/>
    <mergeCell ref="N95:Q95"/>
    <mergeCell ref="F94:I94"/>
    <mergeCell ref="F98:I98"/>
    <mergeCell ref="J98:M98"/>
    <mergeCell ref="N98:Q98"/>
    <mergeCell ref="F99:I99"/>
    <mergeCell ref="J99:M99"/>
    <mergeCell ref="N99:Q99"/>
    <mergeCell ref="R90:T90"/>
    <mergeCell ref="R91:T91"/>
    <mergeCell ref="D1:F1"/>
    <mergeCell ref="J87:M87"/>
    <mergeCell ref="N87:Q87"/>
    <mergeCell ref="J88:M88"/>
    <mergeCell ref="N88:Q88"/>
    <mergeCell ref="F88:I88"/>
    <mergeCell ref="D85:G85"/>
    <mergeCell ref="F87:I87"/>
    <mergeCell ref="F89:I89"/>
    <mergeCell ref="R87:T87"/>
    <mergeCell ref="R88:T88"/>
    <mergeCell ref="R89:T89"/>
    <mergeCell ref="J89:M89"/>
    <mergeCell ref="N89:Q89"/>
    <mergeCell ref="R97:T97"/>
    <mergeCell ref="R98:T98"/>
    <mergeCell ref="R99:T99"/>
    <mergeCell ref="R92:T92"/>
    <mergeCell ref="R93:T93"/>
    <mergeCell ref="R94:T94"/>
    <mergeCell ref="R95:T95"/>
    <mergeCell ref="R96:T96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T99"/>
  <sheetViews>
    <sheetView showGridLines="0" topLeftCell="A46" zoomScaleNormal="100" workbookViewId="0">
      <pane xSplit="1" topLeftCell="B1" activePane="topRight" state="frozen"/>
      <selection activeCell="E8" sqref="E8"/>
      <selection pane="topRight" activeCell="I72" sqref="I72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17" width="16.85546875" style="3" bestFit="1" customWidth="1"/>
    <col min="18" max="18" width="15.7109375" style="63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08" t="s">
        <v>113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110</v>
      </c>
      <c r="C3" s="6"/>
      <c r="E3" s="111" t="s">
        <v>114</v>
      </c>
      <c r="F3" s="109">
        <v>66574</v>
      </c>
      <c r="G3" s="109">
        <v>66574</v>
      </c>
      <c r="H3" s="109">
        <v>66574</v>
      </c>
      <c r="I3" s="109">
        <v>66574</v>
      </c>
    </row>
    <row r="4" spans="1:19">
      <c r="A4" s="1" t="s">
        <v>9</v>
      </c>
      <c r="B4" s="113">
        <v>40841</v>
      </c>
      <c r="C4" s="8"/>
      <c r="E4" s="111" t="s">
        <v>74</v>
      </c>
      <c r="F4" s="110">
        <v>37479994</v>
      </c>
      <c r="G4" s="110">
        <v>37479994</v>
      </c>
      <c r="H4" s="110">
        <v>37479994</v>
      </c>
      <c r="I4" s="110">
        <v>37479994</v>
      </c>
      <c r="J4" s="10"/>
      <c r="K4" s="10"/>
      <c r="L4" s="10"/>
      <c r="M4" s="10"/>
      <c r="N4" s="10"/>
      <c r="O4" s="10"/>
      <c r="P4" s="10"/>
      <c r="Q4" s="10"/>
      <c r="R4" s="116"/>
    </row>
    <row r="5" spans="1:19">
      <c r="A5" s="46" t="s">
        <v>10</v>
      </c>
      <c r="B5" s="114">
        <v>40169</v>
      </c>
      <c r="C5" s="8"/>
      <c r="E5" s="111" t="s">
        <v>93</v>
      </c>
      <c r="F5" s="1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6"/>
    </row>
    <row r="6" spans="1:19">
      <c r="A6" s="1" t="s">
        <v>115</v>
      </c>
      <c r="B6" s="113" t="s">
        <v>116</v>
      </c>
      <c r="C6" s="8"/>
      <c r="E6" s="5" t="s">
        <v>117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6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6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4">
        <v>3</v>
      </c>
    </row>
    <row r="11" spans="1:19">
      <c r="A11" s="18" t="s">
        <v>22</v>
      </c>
      <c r="B11" s="19">
        <f>HLOOKUP($B$7,$F$8:$Q$74,S11,FALSE)</f>
        <v>466.68</v>
      </c>
      <c r="E11" s="20" t="s">
        <v>28</v>
      </c>
      <c r="F11" s="7">
        <v>0</v>
      </c>
      <c r="G11" s="122">
        <v>81.400000000000006</v>
      </c>
      <c r="H11" s="7">
        <v>621.6</v>
      </c>
      <c r="I11" s="7">
        <v>466.68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1169.68</v>
      </c>
      <c r="S11" s="4">
        <v>4</v>
      </c>
    </row>
    <row r="12" spans="1:19">
      <c r="A12" s="18" t="s">
        <v>118</v>
      </c>
      <c r="B12" s="75">
        <f>HLOOKUP($B$7,$F$8:$Q$74,S12,FALSE)</f>
        <v>0.11600000000000001</v>
      </c>
      <c r="E12" s="20" t="s">
        <v>28</v>
      </c>
      <c r="F12" s="81">
        <v>0</v>
      </c>
      <c r="G12" s="144">
        <v>0</v>
      </c>
      <c r="H12" s="81">
        <v>0.155</v>
      </c>
      <c r="I12" s="81">
        <v>0.11600000000000001</v>
      </c>
      <c r="J12" s="81"/>
      <c r="K12" s="81"/>
      <c r="L12" s="81"/>
      <c r="M12" s="81"/>
      <c r="N12" s="81"/>
      <c r="O12" s="81"/>
      <c r="P12" s="81"/>
      <c r="Q12" s="81"/>
      <c r="R12" s="80">
        <f t="shared" ref="R12:R13" si="0">SUM(F12:Q12)</f>
        <v>0.27100000000000002</v>
      </c>
      <c r="S12" s="4">
        <v>5</v>
      </c>
    </row>
    <row r="13" spans="1:19">
      <c r="A13" s="18" t="s">
        <v>23</v>
      </c>
      <c r="B13" s="19">
        <f>HLOOKUP($B$7,$F$8:$Q$74,S13,FALSE)</f>
        <v>-799</v>
      </c>
      <c r="E13" s="20" t="s">
        <v>28</v>
      </c>
      <c r="F13" s="7">
        <v>0</v>
      </c>
      <c r="G13" s="7">
        <v>0</v>
      </c>
      <c r="H13" s="7">
        <v>-449.6</v>
      </c>
      <c r="I13" s="7">
        <v>-799</v>
      </c>
      <c r="J13" s="7"/>
      <c r="K13" s="7"/>
      <c r="L13" s="7"/>
      <c r="M13" s="7"/>
      <c r="N13" s="7"/>
      <c r="O13" s="7"/>
      <c r="P13" s="7"/>
      <c r="Q13" s="7"/>
      <c r="R13" s="24">
        <f t="shared" si="0"/>
        <v>-1248.5999999999999</v>
      </c>
      <c r="S13" s="4">
        <v>6</v>
      </c>
    </row>
    <row r="14" spans="1:19">
      <c r="A14" s="61" t="s">
        <v>88</v>
      </c>
      <c r="B14" s="59"/>
      <c r="E14" s="5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  <c r="S14" s="4">
        <v>7</v>
      </c>
    </row>
    <row r="15" spans="1:19">
      <c r="A15" s="1" t="s">
        <v>87</v>
      </c>
      <c r="B15" s="23">
        <f t="shared" ref="B15:B21" si="1">HLOOKUP($B$7,$F$8:$Q$74,S15,FALSE)</f>
        <v>66574</v>
      </c>
      <c r="E15" s="5"/>
      <c r="F15" s="24">
        <f>$F$3</f>
        <v>66574</v>
      </c>
      <c r="G15" s="24">
        <f t="shared" ref="G15:Q15" si="2">$F$3</f>
        <v>66574</v>
      </c>
      <c r="H15" s="24">
        <f t="shared" si="2"/>
        <v>66574</v>
      </c>
      <c r="I15" s="24">
        <f t="shared" si="2"/>
        <v>66574</v>
      </c>
      <c r="J15" s="24">
        <f t="shared" si="2"/>
        <v>66574</v>
      </c>
      <c r="K15" s="24">
        <f t="shared" si="2"/>
        <v>66574</v>
      </c>
      <c r="L15" s="24">
        <f t="shared" si="2"/>
        <v>66574</v>
      </c>
      <c r="M15" s="24">
        <f t="shared" si="2"/>
        <v>66574</v>
      </c>
      <c r="N15" s="24">
        <f t="shared" si="2"/>
        <v>66574</v>
      </c>
      <c r="O15" s="24">
        <f t="shared" si="2"/>
        <v>66574</v>
      </c>
      <c r="P15" s="24">
        <f t="shared" si="2"/>
        <v>66574</v>
      </c>
      <c r="Q15" s="24">
        <f t="shared" si="2"/>
        <v>66574</v>
      </c>
      <c r="R15" s="25"/>
      <c r="S15" s="4">
        <v>8</v>
      </c>
    </row>
    <row r="16" spans="1:19">
      <c r="A16" s="1" t="s">
        <v>89</v>
      </c>
      <c r="B16" s="23">
        <f t="shared" si="1"/>
        <v>22191.333333333332</v>
      </c>
      <c r="E16" s="5"/>
      <c r="F16" s="24">
        <f>F15*(F9/12)</f>
        <v>5547.833333333333</v>
      </c>
      <c r="G16" s="24">
        <f t="shared" ref="G16:Q16" si="3">G15*(G9/12)</f>
        <v>11095.666666666666</v>
      </c>
      <c r="H16" s="24">
        <f t="shared" si="3"/>
        <v>16643.5</v>
      </c>
      <c r="I16" s="24">
        <f t="shared" si="3"/>
        <v>22191.333333333332</v>
      </c>
      <c r="J16" s="24">
        <f t="shared" si="3"/>
        <v>27739.166666666668</v>
      </c>
      <c r="K16" s="24">
        <f t="shared" si="3"/>
        <v>33287</v>
      </c>
      <c r="L16" s="24">
        <f t="shared" si="3"/>
        <v>38834.833333333336</v>
      </c>
      <c r="M16" s="24">
        <f t="shared" si="3"/>
        <v>44382.666666666664</v>
      </c>
      <c r="N16" s="24">
        <f t="shared" si="3"/>
        <v>49930.5</v>
      </c>
      <c r="O16" s="24">
        <f t="shared" si="3"/>
        <v>55478.333333333336</v>
      </c>
      <c r="P16" s="24">
        <f t="shared" si="3"/>
        <v>61026.166666666664</v>
      </c>
      <c r="Q16" s="24">
        <f t="shared" si="3"/>
        <v>66574</v>
      </c>
      <c r="R16" s="25"/>
      <c r="S16" s="4">
        <v>9</v>
      </c>
    </row>
    <row r="17" spans="1:19">
      <c r="A17" s="86" t="s">
        <v>82</v>
      </c>
      <c r="B17" s="19">
        <f t="shared" si="1"/>
        <v>1169.68</v>
      </c>
      <c r="E17" s="5"/>
      <c r="F17" s="21">
        <f>F11</f>
        <v>0</v>
      </c>
      <c r="G17" s="21">
        <f>F17+G11</f>
        <v>81.400000000000006</v>
      </c>
      <c r="H17" s="21">
        <f t="shared" ref="H17:Q17" si="4">G17+H11</f>
        <v>703</v>
      </c>
      <c r="I17" s="21">
        <f t="shared" si="4"/>
        <v>1169.68</v>
      </c>
      <c r="J17" s="21">
        <f t="shared" si="4"/>
        <v>1169.68</v>
      </c>
      <c r="K17" s="21">
        <f t="shared" si="4"/>
        <v>1169.68</v>
      </c>
      <c r="L17" s="21">
        <f t="shared" si="4"/>
        <v>1169.68</v>
      </c>
      <c r="M17" s="21">
        <f t="shared" si="4"/>
        <v>1169.68</v>
      </c>
      <c r="N17" s="21">
        <f t="shared" si="4"/>
        <v>1169.68</v>
      </c>
      <c r="O17" s="21">
        <f t="shared" si="4"/>
        <v>1169.68</v>
      </c>
      <c r="P17" s="21">
        <f t="shared" si="4"/>
        <v>1169.68</v>
      </c>
      <c r="Q17" s="21">
        <f t="shared" si="4"/>
        <v>1169.68</v>
      </c>
      <c r="R17" s="65"/>
      <c r="S17" s="4">
        <v>10</v>
      </c>
    </row>
    <row r="18" spans="1:19">
      <c r="A18" s="86" t="s">
        <v>14</v>
      </c>
      <c r="B18" s="19">
        <f t="shared" si="1"/>
        <v>10035</v>
      </c>
      <c r="E18" s="20" t="s">
        <v>30</v>
      </c>
      <c r="F18" s="7">
        <v>5364.0119999999997</v>
      </c>
      <c r="G18" s="122">
        <v>4905.68</v>
      </c>
      <c r="H18" s="7">
        <v>16990</v>
      </c>
      <c r="I18" s="7">
        <v>10035</v>
      </c>
      <c r="J18" s="7"/>
      <c r="K18" s="7"/>
      <c r="L18" s="7"/>
      <c r="M18" s="7"/>
      <c r="N18" s="7"/>
      <c r="O18" s="7"/>
      <c r="P18" s="7"/>
      <c r="Q18" s="7"/>
      <c r="R18" s="65"/>
      <c r="S18" s="4">
        <v>11</v>
      </c>
    </row>
    <row r="19" spans="1:19">
      <c r="A19" s="87" t="s">
        <v>47</v>
      </c>
      <c r="B19" s="51">
        <f t="shared" si="1"/>
        <v>11204.68</v>
      </c>
      <c r="C19" s="92"/>
      <c r="D19" s="92"/>
      <c r="E19" s="92"/>
      <c r="F19" s="26">
        <f>F17+F18</f>
        <v>5364.0119999999997</v>
      </c>
      <c r="G19" s="26">
        <f t="shared" ref="G19:Q19" si="5">G17+G18</f>
        <v>4987.08</v>
      </c>
      <c r="H19" s="26">
        <f t="shared" si="5"/>
        <v>17693</v>
      </c>
      <c r="I19" s="26">
        <f t="shared" si="5"/>
        <v>11204.68</v>
      </c>
      <c r="J19" s="26">
        <f t="shared" si="5"/>
        <v>1169.68</v>
      </c>
      <c r="K19" s="26">
        <f t="shared" si="5"/>
        <v>1169.68</v>
      </c>
      <c r="L19" s="26">
        <f t="shared" si="5"/>
        <v>1169.68</v>
      </c>
      <c r="M19" s="26">
        <f t="shared" si="5"/>
        <v>1169.68</v>
      </c>
      <c r="N19" s="26">
        <f t="shared" si="5"/>
        <v>1169.68</v>
      </c>
      <c r="O19" s="26">
        <f t="shared" si="5"/>
        <v>1169.68</v>
      </c>
      <c r="P19" s="26">
        <f t="shared" si="5"/>
        <v>1169.68</v>
      </c>
      <c r="Q19" s="26">
        <f t="shared" si="5"/>
        <v>1169.68</v>
      </c>
      <c r="R19" s="25"/>
      <c r="S19" s="4">
        <v>12</v>
      </c>
    </row>
    <row r="20" spans="1:19">
      <c r="A20" s="86" t="s">
        <v>24</v>
      </c>
      <c r="B20" s="88">
        <f t="shared" si="1"/>
        <v>1.7569621774266232E-2</v>
      </c>
      <c r="F20" s="88">
        <f>F17/F15</f>
        <v>0</v>
      </c>
      <c r="G20" s="88">
        <f t="shared" ref="G20:Q20" si="6">G17/G15</f>
        <v>1.2226995523778052E-3</v>
      </c>
      <c r="H20" s="88">
        <f t="shared" si="6"/>
        <v>1.0559677952353772E-2</v>
      </c>
      <c r="I20" s="88">
        <f t="shared" si="6"/>
        <v>1.7569621774266232E-2</v>
      </c>
      <c r="J20" s="88">
        <f t="shared" si="6"/>
        <v>1.7569621774266232E-2</v>
      </c>
      <c r="K20" s="88">
        <f t="shared" si="6"/>
        <v>1.7569621774266232E-2</v>
      </c>
      <c r="L20" s="88">
        <f t="shared" si="6"/>
        <v>1.7569621774266232E-2</v>
      </c>
      <c r="M20" s="88">
        <f t="shared" si="6"/>
        <v>1.7569621774266232E-2</v>
      </c>
      <c r="N20" s="88">
        <f t="shared" si="6"/>
        <v>1.7569621774266232E-2</v>
      </c>
      <c r="O20" s="88">
        <f t="shared" si="6"/>
        <v>1.7569621774266232E-2</v>
      </c>
      <c r="P20" s="88">
        <f t="shared" si="6"/>
        <v>1.7569621774266232E-2</v>
      </c>
      <c r="Q20" s="88">
        <f t="shared" si="6"/>
        <v>1.7569621774266232E-2</v>
      </c>
      <c r="R20" s="97"/>
      <c r="S20" s="4">
        <v>13</v>
      </c>
    </row>
    <row r="21" spans="1:19">
      <c r="A21" s="86" t="s">
        <v>48</v>
      </c>
      <c r="B21" s="88">
        <f t="shared" si="1"/>
        <v>0.16830414275843422</v>
      </c>
      <c r="F21" s="88">
        <f>F19/F15</f>
        <v>8.0572175323699938E-2</v>
      </c>
      <c r="G21" s="88">
        <f t="shared" ref="G21:Q21" si="7">G19/G15</f>
        <v>7.4910325352239612E-2</v>
      </c>
      <c r="H21" s="88">
        <f t="shared" si="7"/>
        <v>0.26576441253342148</v>
      </c>
      <c r="I21" s="88">
        <f t="shared" si="7"/>
        <v>0.16830414275843422</v>
      </c>
      <c r="J21" s="88">
        <f t="shared" si="7"/>
        <v>1.7569621774266232E-2</v>
      </c>
      <c r="K21" s="88">
        <f t="shared" si="7"/>
        <v>1.7569621774266232E-2</v>
      </c>
      <c r="L21" s="88">
        <f t="shared" si="7"/>
        <v>1.7569621774266232E-2</v>
      </c>
      <c r="M21" s="88">
        <f t="shared" si="7"/>
        <v>1.7569621774266232E-2</v>
      </c>
      <c r="N21" s="88">
        <f t="shared" si="7"/>
        <v>1.7569621774266232E-2</v>
      </c>
      <c r="O21" s="88">
        <f t="shared" si="7"/>
        <v>1.7569621774266232E-2</v>
      </c>
      <c r="P21" s="88">
        <f t="shared" si="7"/>
        <v>1.7569621774266232E-2</v>
      </c>
      <c r="Q21" s="88">
        <f t="shared" si="7"/>
        <v>1.7569621774266232E-2</v>
      </c>
      <c r="R21" s="97"/>
      <c r="S21" s="4">
        <v>14</v>
      </c>
    </row>
    <row r="22" spans="1:19">
      <c r="A22" s="86" t="s">
        <v>25</v>
      </c>
      <c r="B22" s="88">
        <v>0.47</v>
      </c>
      <c r="F22" s="88">
        <f>F17/F16</f>
        <v>0</v>
      </c>
      <c r="G22" s="88">
        <f t="shared" ref="G22:Q22" si="8">G17/G16</f>
        <v>7.3361973142668322E-3</v>
      </c>
      <c r="H22" s="88">
        <f t="shared" si="8"/>
        <v>4.2238711809415089E-2</v>
      </c>
      <c r="I22" s="88">
        <f t="shared" si="8"/>
        <v>5.2708865322798698E-2</v>
      </c>
      <c r="J22" s="88">
        <f t="shared" si="8"/>
        <v>4.2167092258238954E-2</v>
      </c>
      <c r="K22" s="88">
        <f t="shared" si="8"/>
        <v>3.5139243548532463E-2</v>
      </c>
      <c r="L22" s="88">
        <f t="shared" si="8"/>
        <v>3.0119351613027822E-2</v>
      </c>
      <c r="M22" s="88">
        <f t="shared" si="8"/>
        <v>2.6354432661399349E-2</v>
      </c>
      <c r="N22" s="88">
        <f t="shared" si="8"/>
        <v>2.3426162365688306E-2</v>
      </c>
      <c r="O22" s="88">
        <f t="shared" si="8"/>
        <v>2.1083546129119477E-2</v>
      </c>
      <c r="P22" s="88">
        <f t="shared" si="8"/>
        <v>1.9166860117381345E-2</v>
      </c>
      <c r="Q22" s="88">
        <f t="shared" si="8"/>
        <v>1.7569621774266232E-2</v>
      </c>
      <c r="R22" s="97"/>
      <c r="S22" s="4">
        <v>15</v>
      </c>
    </row>
    <row r="23" spans="1:19">
      <c r="A23" s="61" t="s">
        <v>90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5"/>
      <c r="S23" s="4">
        <v>16</v>
      </c>
    </row>
    <row r="24" spans="1:19">
      <c r="A24" s="86" t="s">
        <v>83</v>
      </c>
      <c r="B24" s="75">
        <f>HLOOKUP($B$7,$F$8:$Q$74,S24,FALSE)</f>
        <v>0.27100000000000002</v>
      </c>
      <c r="E24" s="76"/>
      <c r="F24" s="75">
        <f>F12</f>
        <v>0</v>
      </c>
      <c r="G24" s="75">
        <f t="shared" ref="G24:Q24" si="9">F24+G12</f>
        <v>0</v>
      </c>
      <c r="H24" s="75">
        <f t="shared" si="9"/>
        <v>0.155</v>
      </c>
      <c r="I24" s="75">
        <f t="shared" si="9"/>
        <v>0.27100000000000002</v>
      </c>
      <c r="J24" s="75">
        <f t="shared" si="9"/>
        <v>0.27100000000000002</v>
      </c>
      <c r="K24" s="75">
        <f t="shared" si="9"/>
        <v>0.27100000000000002</v>
      </c>
      <c r="L24" s="75">
        <f t="shared" si="9"/>
        <v>0.27100000000000002</v>
      </c>
      <c r="M24" s="75">
        <f t="shared" si="9"/>
        <v>0.27100000000000002</v>
      </c>
      <c r="N24" s="75">
        <f t="shared" si="9"/>
        <v>0.27100000000000002</v>
      </c>
      <c r="O24" s="75">
        <f t="shared" si="9"/>
        <v>0.27100000000000002</v>
      </c>
      <c r="P24" s="75">
        <f t="shared" si="9"/>
        <v>0.27100000000000002</v>
      </c>
      <c r="Q24" s="75">
        <f t="shared" si="9"/>
        <v>0.27100000000000002</v>
      </c>
      <c r="R24" s="25"/>
      <c r="S24" s="4">
        <v>17</v>
      </c>
    </row>
    <row r="25" spans="1:19">
      <c r="A25" s="86" t="s">
        <v>15</v>
      </c>
      <c r="B25" s="75">
        <f>HLOOKUP($B$7,$F$8:$Q$74,S25,FALSE)</f>
        <v>0.89100000000000001</v>
      </c>
      <c r="E25" s="20" t="s">
        <v>30</v>
      </c>
      <c r="F25" s="81">
        <v>1.1327</v>
      </c>
      <c r="G25" s="144">
        <v>0.66800000000000004</v>
      </c>
      <c r="H25" s="81">
        <v>1.3420000000000001</v>
      </c>
      <c r="I25" s="81">
        <v>0.89100000000000001</v>
      </c>
      <c r="J25" s="81"/>
      <c r="K25" s="81"/>
      <c r="L25" s="81"/>
      <c r="M25" s="81"/>
      <c r="N25" s="81"/>
      <c r="O25" s="81"/>
      <c r="P25" s="81"/>
      <c r="Q25" s="81"/>
      <c r="R25" s="25"/>
      <c r="S25" s="4">
        <v>18</v>
      </c>
    </row>
    <row r="26" spans="1:19">
      <c r="A26" s="89" t="s">
        <v>26</v>
      </c>
      <c r="B26" s="83">
        <f>HLOOKUP($B$7,$F$8:$Q$74,S26,FALSE)</f>
        <v>1.1619999999999999</v>
      </c>
      <c r="C26" s="92"/>
      <c r="D26" s="92"/>
      <c r="E26" s="99"/>
      <c r="F26" s="83">
        <f>F24+F25</f>
        <v>1.1327</v>
      </c>
      <c r="G26" s="83">
        <f>G24+G25</f>
        <v>0.66800000000000004</v>
      </c>
      <c r="H26" s="83">
        <f t="shared" ref="H26:Q26" si="10">H24+H25</f>
        <v>1.4970000000000001</v>
      </c>
      <c r="I26" s="83">
        <f>I24+I25</f>
        <v>1.1619999999999999</v>
      </c>
      <c r="J26" s="83">
        <f t="shared" si="10"/>
        <v>0.27100000000000002</v>
      </c>
      <c r="K26" s="83">
        <f t="shared" si="10"/>
        <v>0.27100000000000002</v>
      </c>
      <c r="L26" s="83">
        <f t="shared" si="10"/>
        <v>0.27100000000000002</v>
      </c>
      <c r="M26" s="83">
        <f t="shared" si="10"/>
        <v>0.27100000000000002</v>
      </c>
      <c r="N26" s="83">
        <f t="shared" si="10"/>
        <v>0.27100000000000002</v>
      </c>
      <c r="O26" s="83">
        <f t="shared" si="10"/>
        <v>0.27100000000000002</v>
      </c>
      <c r="P26" s="83">
        <f t="shared" si="10"/>
        <v>0.27100000000000002</v>
      </c>
      <c r="Q26" s="83">
        <f t="shared" si="10"/>
        <v>0.27100000000000002</v>
      </c>
      <c r="R26" s="25"/>
      <c r="S26" s="4">
        <v>19</v>
      </c>
    </row>
    <row r="27" spans="1:19">
      <c r="A27" s="61" t="s">
        <v>91</v>
      </c>
      <c r="B27" s="5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  <c r="S27" s="4">
        <v>20</v>
      </c>
    </row>
    <row r="28" spans="1:19">
      <c r="A28" s="86" t="s">
        <v>79</v>
      </c>
      <c r="B28" s="19">
        <f>HLOOKUP($B$7,$F$8:$Q$74,S28,FALSE)</f>
        <v>-1248.5999999999999</v>
      </c>
      <c r="F28" s="29">
        <f>F13</f>
        <v>0</v>
      </c>
      <c r="G28" s="29">
        <f t="shared" ref="G28:Q28" si="11">F28+G13</f>
        <v>0</v>
      </c>
      <c r="H28" s="29">
        <f t="shared" si="11"/>
        <v>-449.6</v>
      </c>
      <c r="I28" s="29">
        <f t="shared" si="11"/>
        <v>-1248.5999999999999</v>
      </c>
      <c r="J28" s="29">
        <f t="shared" si="11"/>
        <v>-1248.5999999999999</v>
      </c>
      <c r="K28" s="29">
        <f t="shared" si="11"/>
        <v>-1248.5999999999999</v>
      </c>
      <c r="L28" s="29">
        <f t="shared" si="11"/>
        <v>-1248.5999999999999</v>
      </c>
      <c r="M28" s="29">
        <f t="shared" si="11"/>
        <v>-1248.5999999999999</v>
      </c>
      <c r="N28" s="29">
        <f t="shared" si="11"/>
        <v>-1248.5999999999999</v>
      </c>
      <c r="O28" s="29">
        <f t="shared" si="11"/>
        <v>-1248.5999999999999</v>
      </c>
      <c r="P28" s="29">
        <f t="shared" si="11"/>
        <v>-1248.5999999999999</v>
      </c>
      <c r="Q28" s="29">
        <f t="shared" si="11"/>
        <v>-1248.5999999999999</v>
      </c>
      <c r="R28" s="64"/>
      <c r="S28" s="4">
        <v>21</v>
      </c>
    </row>
    <row r="29" spans="1:19">
      <c r="A29" s="86" t="s">
        <v>11</v>
      </c>
      <c r="B29" s="19">
        <f>HLOOKUP($B$7,$F$8:$Q$74,S29,FALSE)</f>
        <v>0</v>
      </c>
      <c r="E29" s="20" t="s">
        <v>30</v>
      </c>
      <c r="F29" s="7">
        <v>0</v>
      </c>
      <c r="G29" s="122">
        <v>0</v>
      </c>
      <c r="H29" s="7">
        <v>0</v>
      </c>
      <c r="I29" s="7">
        <v>0</v>
      </c>
      <c r="J29" s="7"/>
      <c r="K29" s="7"/>
      <c r="L29" s="7"/>
      <c r="M29" s="7"/>
      <c r="N29" s="7"/>
      <c r="O29" s="7"/>
      <c r="P29" s="7"/>
      <c r="Q29" s="7"/>
      <c r="R29" s="64"/>
      <c r="S29" s="4">
        <v>22</v>
      </c>
    </row>
    <row r="30" spans="1:19">
      <c r="A30" s="89" t="s">
        <v>45</v>
      </c>
      <c r="B30" s="51">
        <f>HLOOKUP($B$7,$F$8:$Q$74,S30,FALSE)</f>
        <v>-1248.5999999999999</v>
      </c>
      <c r="C30" s="92"/>
      <c r="D30" s="92"/>
      <c r="E30" s="92"/>
      <c r="F30" s="95">
        <f>F28+F29</f>
        <v>0</v>
      </c>
      <c r="G30" s="95">
        <f t="shared" ref="G30:P30" si="12">G28+G29</f>
        <v>0</v>
      </c>
      <c r="H30" s="95">
        <f t="shared" si="12"/>
        <v>-449.6</v>
      </c>
      <c r="I30" s="95">
        <f t="shared" si="12"/>
        <v>-1248.5999999999999</v>
      </c>
      <c r="J30" s="95">
        <f t="shared" si="12"/>
        <v>-1248.5999999999999</v>
      </c>
      <c r="K30" s="95">
        <f t="shared" si="12"/>
        <v>-1248.5999999999999</v>
      </c>
      <c r="L30" s="95">
        <f t="shared" si="12"/>
        <v>-1248.5999999999999</v>
      </c>
      <c r="M30" s="95">
        <f t="shared" si="12"/>
        <v>-1248.5999999999999</v>
      </c>
      <c r="N30" s="95">
        <f t="shared" si="12"/>
        <v>-1248.5999999999999</v>
      </c>
      <c r="O30" s="95">
        <f t="shared" si="12"/>
        <v>-1248.5999999999999</v>
      </c>
      <c r="P30" s="95">
        <f t="shared" si="12"/>
        <v>-1248.5999999999999</v>
      </c>
      <c r="Q30" s="95">
        <f>Q28+Q29</f>
        <v>-1248.5999999999999</v>
      </c>
      <c r="R30" s="64"/>
      <c r="S30" s="4">
        <v>23</v>
      </c>
    </row>
    <row r="31" spans="1:19">
      <c r="A31" s="61" t="s">
        <v>59</v>
      </c>
      <c r="B31" s="5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  <c r="S31" s="4">
        <v>24</v>
      </c>
    </row>
    <row r="32" spans="1:19">
      <c r="A32" s="90" t="s">
        <v>50</v>
      </c>
      <c r="B32" s="49">
        <f t="shared" ref="B32:B40" si="13">HLOOKUP($B$7,$F$8:$Q$74,S32,FALSE)</f>
        <v>55447.41</v>
      </c>
      <c r="E32" s="20" t="s">
        <v>28</v>
      </c>
      <c r="F32" s="9">
        <v>3363.27</v>
      </c>
      <c r="G32" s="9">
        <v>125294.70000000001</v>
      </c>
      <c r="H32" s="9">
        <v>36626.31</v>
      </c>
      <c r="I32" s="9">
        <v>55447.41</v>
      </c>
      <c r="J32" s="9"/>
      <c r="K32" s="9"/>
      <c r="L32" s="9"/>
      <c r="M32" s="9"/>
      <c r="N32" s="9"/>
      <c r="O32" s="9"/>
      <c r="P32" s="9"/>
      <c r="Q32" s="9"/>
      <c r="R32" s="85">
        <f>SUM(F32:Q32)</f>
        <v>220731.69000000003</v>
      </c>
      <c r="S32" s="4">
        <v>25</v>
      </c>
    </row>
    <row r="33" spans="1:19">
      <c r="A33" s="90" t="s">
        <v>51</v>
      </c>
      <c r="B33" s="49">
        <f t="shared" si="13"/>
        <v>5857.5</v>
      </c>
      <c r="E33" s="20" t="s">
        <v>28</v>
      </c>
      <c r="F33" s="9">
        <v>4200.34</v>
      </c>
      <c r="G33" s="9">
        <v>7335.01</v>
      </c>
      <c r="H33" s="9">
        <v>7017.8</v>
      </c>
      <c r="I33" s="9">
        <v>5857.5</v>
      </c>
      <c r="J33" s="9"/>
      <c r="K33" s="9"/>
      <c r="L33" s="9"/>
      <c r="M33" s="9"/>
      <c r="N33" s="9"/>
      <c r="O33" s="9"/>
      <c r="P33" s="9"/>
      <c r="Q33" s="9"/>
      <c r="R33" s="85">
        <f t="shared" ref="R33:R39" si="14">SUM(F33:Q33)</f>
        <v>24410.65</v>
      </c>
      <c r="S33" s="4">
        <v>26</v>
      </c>
    </row>
    <row r="34" spans="1:19">
      <c r="A34" s="90" t="s">
        <v>52</v>
      </c>
      <c r="B34" s="49">
        <f t="shared" si="13"/>
        <v>84390.239999999991</v>
      </c>
      <c r="E34" s="20" t="s">
        <v>28</v>
      </c>
      <c r="F34" s="9">
        <v>0</v>
      </c>
      <c r="G34" s="9">
        <v>0</v>
      </c>
      <c r="H34" s="9">
        <v>3087.62</v>
      </c>
      <c r="I34" s="9">
        <v>84390.239999999991</v>
      </c>
      <c r="J34" s="9"/>
      <c r="K34" s="9"/>
      <c r="L34" s="9"/>
      <c r="M34" s="9"/>
      <c r="N34" s="9"/>
      <c r="O34" s="9"/>
      <c r="P34" s="9"/>
      <c r="Q34" s="9"/>
      <c r="R34" s="85">
        <f t="shared" si="14"/>
        <v>87477.859999999986</v>
      </c>
      <c r="S34" s="4">
        <v>27</v>
      </c>
    </row>
    <row r="35" spans="1:19">
      <c r="A35" s="90" t="s">
        <v>53</v>
      </c>
      <c r="B35" s="49">
        <f t="shared" si="13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4"/>
        <v>0</v>
      </c>
      <c r="S35" s="4">
        <v>28</v>
      </c>
    </row>
    <row r="36" spans="1:19">
      <c r="A36" s="90" t="s">
        <v>54</v>
      </c>
      <c r="B36" s="49">
        <f t="shared" si="13"/>
        <v>110317.39</v>
      </c>
      <c r="E36" s="20" t="s">
        <v>28</v>
      </c>
      <c r="F36" s="9">
        <v>0</v>
      </c>
      <c r="G36" s="9">
        <v>6705</v>
      </c>
      <c r="H36" s="9">
        <v>0</v>
      </c>
      <c r="I36" s="9">
        <v>110317.39</v>
      </c>
      <c r="J36" s="9"/>
      <c r="K36" s="9"/>
      <c r="L36" s="9"/>
      <c r="M36" s="9"/>
      <c r="N36" s="9"/>
      <c r="O36" s="9"/>
      <c r="P36" s="9"/>
      <c r="Q36" s="9"/>
      <c r="R36" s="85">
        <f t="shared" si="14"/>
        <v>117022.39</v>
      </c>
      <c r="S36" s="4">
        <v>29</v>
      </c>
    </row>
    <row r="37" spans="1:19">
      <c r="A37" s="90" t="s">
        <v>55</v>
      </c>
      <c r="B37" s="49">
        <f t="shared" si="13"/>
        <v>620661.89</v>
      </c>
      <c r="E37" s="20" t="s">
        <v>28</v>
      </c>
      <c r="F37" s="9">
        <v>0</v>
      </c>
      <c r="G37" s="9">
        <v>0</v>
      </c>
      <c r="H37" s="9">
        <v>0</v>
      </c>
      <c r="I37" s="9">
        <v>620661.89</v>
      </c>
      <c r="J37" s="9"/>
      <c r="K37" s="9"/>
      <c r="L37" s="9"/>
      <c r="M37" s="9"/>
      <c r="N37" s="9"/>
      <c r="O37" s="9"/>
      <c r="P37" s="9"/>
      <c r="Q37" s="9"/>
      <c r="R37" s="85">
        <f t="shared" si="14"/>
        <v>620661.89</v>
      </c>
      <c r="S37" s="4">
        <v>30</v>
      </c>
    </row>
    <row r="38" spans="1:19">
      <c r="A38" s="90" t="s">
        <v>56</v>
      </c>
      <c r="B38" s="49">
        <f t="shared" si="13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 t="shared" si="14"/>
        <v>0</v>
      </c>
      <c r="S38" s="4">
        <v>31</v>
      </c>
    </row>
    <row r="39" spans="1:19">
      <c r="A39" s="90" t="s">
        <v>95</v>
      </c>
      <c r="B39" s="49">
        <f t="shared" si="13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>
        <f t="shared" si="14"/>
        <v>0</v>
      </c>
      <c r="S39" s="4">
        <v>32</v>
      </c>
    </row>
    <row r="40" spans="1:19">
      <c r="A40" s="89" t="s">
        <v>60</v>
      </c>
      <c r="B40" s="35">
        <f t="shared" si="13"/>
        <v>876674.42999999993</v>
      </c>
      <c r="C40" s="92"/>
      <c r="D40" s="92"/>
      <c r="E40" s="92"/>
      <c r="F40" s="96">
        <f>SUM(F32:F39)</f>
        <v>7563.6100000000006</v>
      </c>
      <c r="G40" s="96">
        <f t="shared" ref="G40:Q40" si="15">SUM(G32:G39)</f>
        <v>139334.71000000002</v>
      </c>
      <c r="H40" s="96">
        <f t="shared" si="15"/>
        <v>46731.73</v>
      </c>
      <c r="I40" s="96">
        <f t="shared" si="15"/>
        <v>876674.42999999993</v>
      </c>
      <c r="J40" s="96">
        <f t="shared" si="15"/>
        <v>0</v>
      </c>
      <c r="K40" s="96">
        <f t="shared" si="15"/>
        <v>0</v>
      </c>
      <c r="L40" s="96">
        <f t="shared" si="15"/>
        <v>0</v>
      </c>
      <c r="M40" s="96">
        <f t="shared" si="15"/>
        <v>0</v>
      </c>
      <c r="N40" s="96">
        <f t="shared" si="15"/>
        <v>0</v>
      </c>
      <c r="O40" s="96">
        <f t="shared" si="15"/>
        <v>0</v>
      </c>
      <c r="P40" s="96">
        <f t="shared" si="15"/>
        <v>0</v>
      </c>
      <c r="Q40" s="96">
        <f t="shared" si="15"/>
        <v>0</v>
      </c>
      <c r="R40" s="66">
        <f>SUM(F40:Q40)</f>
        <v>1070304.48</v>
      </c>
      <c r="S40" s="4">
        <v>33</v>
      </c>
    </row>
    <row r="41" spans="1:19">
      <c r="A41" s="61" t="s">
        <v>96</v>
      </c>
      <c r="B41" s="5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5"/>
      <c r="S41" s="4">
        <v>34</v>
      </c>
    </row>
    <row r="42" spans="1:19">
      <c r="A42" s="90" t="s">
        <v>100</v>
      </c>
      <c r="B42" s="98">
        <f>HLOOKUP($B$7,$F$8:$Q$74,S42,FALSE)</f>
        <v>404341.81984830205</v>
      </c>
      <c r="E42" s="20" t="s">
        <v>30</v>
      </c>
      <c r="F42" s="9">
        <v>293184.16872752999</v>
      </c>
      <c r="G42" s="9">
        <v>227411.45579118098</v>
      </c>
      <c r="H42" s="9">
        <v>107444.01679730204</v>
      </c>
      <c r="I42" s="9">
        <v>404341.81984830205</v>
      </c>
      <c r="J42" s="9"/>
      <c r="K42" s="9"/>
      <c r="L42" s="9"/>
      <c r="M42" s="9"/>
      <c r="N42" s="9"/>
      <c r="O42" s="9"/>
      <c r="P42" s="9"/>
      <c r="Q42" s="9"/>
      <c r="R42" s="25"/>
      <c r="S42" s="4">
        <v>35</v>
      </c>
    </row>
    <row r="43" spans="1:19">
      <c r="A43" s="90" t="s">
        <v>101</v>
      </c>
      <c r="B43" s="98">
        <f t="shared" ref="B43:B49" si="16">HLOOKUP($B$7,$F$8:$Q$74,S43,FALSE)</f>
        <v>1662.2320761839289</v>
      </c>
      <c r="E43" s="20" t="s">
        <v>30</v>
      </c>
      <c r="F43" s="9">
        <v>614.0863121412732</v>
      </c>
      <c r="G43" s="9">
        <v>965.51654618304531</v>
      </c>
      <c r="H43" s="9">
        <v>451.42006520596448</v>
      </c>
      <c r="I43" s="9">
        <v>1662.2320761839289</v>
      </c>
      <c r="J43" s="9"/>
      <c r="K43" s="9"/>
      <c r="L43" s="9"/>
      <c r="M43" s="9"/>
      <c r="N43" s="9"/>
      <c r="O43" s="9"/>
      <c r="P43" s="9"/>
      <c r="Q43" s="9"/>
      <c r="R43" s="25"/>
      <c r="S43" s="4">
        <v>36</v>
      </c>
    </row>
    <row r="44" spans="1:19">
      <c r="A44" s="90" t="s">
        <v>102</v>
      </c>
      <c r="B44" s="98">
        <f t="shared" si="16"/>
        <v>742254.00596180477</v>
      </c>
      <c r="E44" s="20" t="s">
        <v>30</v>
      </c>
      <c r="F44" s="9">
        <v>711402.1543726715</v>
      </c>
      <c r="G44" s="9">
        <v>427162.99445253331</v>
      </c>
      <c r="H44" s="9">
        <v>196882.09244904219</v>
      </c>
      <c r="I44" s="9">
        <v>742254.00596180477</v>
      </c>
      <c r="J44" s="9"/>
      <c r="K44" s="9"/>
      <c r="L44" s="9"/>
      <c r="M44" s="9"/>
      <c r="N44" s="9"/>
      <c r="O44" s="9"/>
      <c r="P44" s="9"/>
      <c r="Q44" s="9"/>
      <c r="R44" s="25"/>
      <c r="S44" s="4">
        <v>37</v>
      </c>
    </row>
    <row r="45" spans="1:19">
      <c r="A45" s="90" t="s">
        <v>103</v>
      </c>
      <c r="B45" s="98">
        <f t="shared" si="16"/>
        <v>127.38086295923563</v>
      </c>
      <c r="E45" s="20" t="s">
        <v>30</v>
      </c>
      <c r="F45" s="9">
        <v>0</v>
      </c>
      <c r="G45" s="9">
        <v>0</v>
      </c>
      <c r="H45" s="9">
        <v>0</v>
      </c>
      <c r="I45" s="9">
        <v>127.38086295923563</v>
      </c>
      <c r="J45" s="9"/>
      <c r="K45" s="9"/>
      <c r="L45" s="9"/>
      <c r="M45" s="9"/>
      <c r="N45" s="9"/>
      <c r="O45" s="9"/>
      <c r="P45" s="9"/>
      <c r="Q45" s="9"/>
      <c r="R45" s="25"/>
      <c r="S45" s="4">
        <v>38</v>
      </c>
    </row>
    <row r="46" spans="1:19">
      <c r="A46" s="90" t="s">
        <v>104</v>
      </c>
      <c r="B46" s="98">
        <f t="shared" si="16"/>
        <v>1777165.6815595354</v>
      </c>
      <c r="E46" s="20" t="s">
        <v>30</v>
      </c>
      <c r="F46" s="9">
        <v>503284</v>
      </c>
      <c r="G46" s="9">
        <v>511238</v>
      </c>
      <c r="H46" s="9">
        <v>415446.42507135961</v>
      </c>
      <c r="I46" s="9">
        <v>1777165.6815595354</v>
      </c>
      <c r="J46" s="9"/>
      <c r="K46" s="9"/>
      <c r="L46" s="9"/>
      <c r="M46" s="9"/>
      <c r="N46" s="9"/>
      <c r="O46" s="9"/>
      <c r="P46" s="9"/>
      <c r="Q46" s="9"/>
      <c r="R46" s="25"/>
      <c r="S46" s="4">
        <v>39</v>
      </c>
    </row>
    <row r="47" spans="1:19">
      <c r="A47" s="90" t="s">
        <v>105</v>
      </c>
      <c r="B47" s="98">
        <f t="shared" si="16"/>
        <v>1231695.7834171439</v>
      </c>
      <c r="E47" s="20" t="s">
        <v>30</v>
      </c>
      <c r="F47" s="9">
        <v>794279.23242502206</v>
      </c>
      <c r="G47" s="9">
        <v>703155.3657675758</v>
      </c>
      <c r="H47" s="9">
        <v>320764.48754708178</v>
      </c>
      <c r="I47" s="9">
        <v>1231695.7834171439</v>
      </c>
      <c r="J47" s="9"/>
      <c r="K47" s="9"/>
      <c r="L47" s="9"/>
      <c r="M47" s="9"/>
      <c r="N47" s="9"/>
      <c r="O47" s="9"/>
      <c r="P47" s="9"/>
      <c r="Q47" s="9"/>
      <c r="R47" s="25"/>
      <c r="S47" s="4">
        <v>40</v>
      </c>
    </row>
    <row r="48" spans="1:19">
      <c r="A48" s="90" t="s">
        <v>106</v>
      </c>
      <c r="B48" s="98">
        <f t="shared" si="16"/>
        <v>51266.823003373189</v>
      </c>
      <c r="E48" s="20" t="s">
        <v>30</v>
      </c>
      <c r="F48" s="9">
        <v>14676.26070039431</v>
      </c>
      <c r="G48" s="9">
        <v>22025.8572515989</v>
      </c>
      <c r="H48" s="9">
        <v>11431.406922950517</v>
      </c>
      <c r="I48" s="9">
        <v>51266.823003373189</v>
      </c>
      <c r="J48" s="9"/>
      <c r="K48" s="9"/>
      <c r="L48" s="9"/>
      <c r="M48" s="9"/>
      <c r="N48" s="9"/>
      <c r="O48" s="9"/>
      <c r="P48" s="9"/>
      <c r="Q48" s="9"/>
      <c r="R48" s="25"/>
      <c r="S48" s="4">
        <v>41</v>
      </c>
    </row>
    <row r="49" spans="1:19">
      <c r="A49" s="90" t="s">
        <v>107</v>
      </c>
      <c r="B49" s="98">
        <f t="shared" si="16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5"/>
      <c r="S49" s="4">
        <v>42</v>
      </c>
    </row>
    <row r="50" spans="1:19">
      <c r="A50" s="61" t="s">
        <v>62</v>
      </c>
      <c r="B50" s="5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4">
        <v>43</v>
      </c>
    </row>
    <row r="51" spans="1:19">
      <c r="A51" s="1" t="s">
        <v>71</v>
      </c>
      <c r="B51" s="31">
        <f t="shared" ref="B51:B58" si="17">HLOOKUP($B$7,$F$8:$Q$74,S51,FALSE)</f>
        <v>37479994</v>
      </c>
      <c r="F51" s="32">
        <f>$F$4+$F$5</f>
        <v>37479994</v>
      </c>
      <c r="G51" s="32">
        <f t="shared" ref="G51:Q51" si="18">$F$4+$F$5</f>
        <v>37479994</v>
      </c>
      <c r="H51" s="32">
        <f t="shared" si="18"/>
        <v>37479994</v>
      </c>
      <c r="I51" s="32">
        <f t="shared" si="18"/>
        <v>37479994</v>
      </c>
      <c r="J51" s="32">
        <f t="shared" si="18"/>
        <v>37479994</v>
      </c>
      <c r="K51" s="32">
        <f t="shared" si="18"/>
        <v>37479994</v>
      </c>
      <c r="L51" s="32">
        <f t="shared" si="18"/>
        <v>37479994</v>
      </c>
      <c r="M51" s="32">
        <f t="shared" si="18"/>
        <v>37479994</v>
      </c>
      <c r="N51" s="32">
        <f t="shared" si="18"/>
        <v>37479994</v>
      </c>
      <c r="O51" s="32">
        <f t="shared" si="18"/>
        <v>37479994</v>
      </c>
      <c r="P51" s="32">
        <f t="shared" si="18"/>
        <v>37479994</v>
      </c>
      <c r="Q51" s="32">
        <f t="shared" si="18"/>
        <v>37479994</v>
      </c>
      <c r="R51" s="62"/>
      <c r="S51" s="4">
        <v>44</v>
      </c>
    </row>
    <row r="52" spans="1:19">
      <c r="A52" s="1" t="s">
        <v>72</v>
      </c>
      <c r="B52" s="31">
        <f t="shared" si="17"/>
        <v>12493331.333333332</v>
      </c>
      <c r="F52" s="33">
        <f t="shared" ref="F52:Q52" si="19">F51*(F9/12)</f>
        <v>3123332.833333333</v>
      </c>
      <c r="G52" s="33">
        <f t="shared" si="19"/>
        <v>6246665.666666666</v>
      </c>
      <c r="H52" s="33">
        <f t="shared" si="19"/>
        <v>9369998.5</v>
      </c>
      <c r="I52" s="33">
        <f t="shared" si="19"/>
        <v>12493331.333333332</v>
      </c>
      <c r="J52" s="33">
        <f t="shared" si="19"/>
        <v>15616664.166666668</v>
      </c>
      <c r="K52" s="33">
        <f t="shared" si="19"/>
        <v>18739997</v>
      </c>
      <c r="L52" s="33">
        <f t="shared" si="19"/>
        <v>21863329.833333336</v>
      </c>
      <c r="M52" s="33">
        <f t="shared" si="19"/>
        <v>24986662.666666664</v>
      </c>
      <c r="N52" s="33">
        <f t="shared" si="19"/>
        <v>28109995.5</v>
      </c>
      <c r="O52" s="33">
        <f t="shared" si="19"/>
        <v>31233328.333333336</v>
      </c>
      <c r="P52" s="33">
        <f t="shared" si="19"/>
        <v>34356661.166666664</v>
      </c>
      <c r="Q52" s="33">
        <f t="shared" si="19"/>
        <v>37479994</v>
      </c>
      <c r="R52" s="64"/>
      <c r="S52" s="4">
        <v>45</v>
      </c>
    </row>
    <row r="53" spans="1:19">
      <c r="A53" s="86" t="s">
        <v>67</v>
      </c>
      <c r="B53" s="98">
        <f t="shared" si="17"/>
        <v>1070304.48</v>
      </c>
      <c r="F53" s="37">
        <f>F40</f>
        <v>7563.6100000000006</v>
      </c>
      <c r="G53" s="37">
        <f t="shared" ref="G53:Q53" si="20">F53+G40</f>
        <v>146898.32</v>
      </c>
      <c r="H53" s="37">
        <f t="shared" si="20"/>
        <v>193630.05000000002</v>
      </c>
      <c r="I53" s="37">
        <f t="shared" si="20"/>
        <v>1070304.48</v>
      </c>
      <c r="J53" s="37">
        <f t="shared" si="20"/>
        <v>1070304.48</v>
      </c>
      <c r="K53" s="37">
        <f t="shared" si="20"/>
        <v>1070304.48</v>
      </c>
      <c r="L53" s="37">
        <f t="shared" si="20"/>
        <v>1070304.48</v>
      </c>
      <c r="M53" s="37">
        <f t="shared" si="20"/>
        <v>1070304.48</v>
      </c>
      <c r="N53" s="37">
        <f t="shared" si="20"/>
        <v>1070304.48</v>
      </c>
      <c r="O53" s="37">
        <f t="shared" si="20"/>
        <v>1070304.48</v>
      </c>
      <c r="P53" s="37">
        <f t="shared" si="20"/>
        <v>1070304.48</v>
      </c>
      <c r="Q53" s="37">
        <f t="shared" si="20"/>
        <v>1070304.48</v>
      </c>
      <c r="R53" s="67"/>
      <c r="S53" s="4">
        <v>46</v>
      </c>
    </row>
    <row r="54" spans="1:19">
      <c r="A54" s="86" t="s">
        <v>16</v>
      </c>
      <c r="B54" s="98">
        <f t="shared" si="17"/>
        <v>4208513.7267293027</v>
      </c>
      <c r="E54" s="3"/>
      <c r="F54" s="37">
        <f>SUM(F42:F49)</f>
        <v>2317439.9025377594</v>
      </c>
      <c r="G54" s="37">
        <f t="shared" ref="G54:Q54" si="21">SUM(G42:G49)</f>
        <v>1891959.1898090721</v>
      </c>
      <c r="H54" s="37">
        <f t="shared" si="21"/>
        <v>1052419.848852942</v>
      </c>
      <c r="I54" s="37">
        <f t="shared" si="21"/>
        <v>4208513.7267293027</v>
      </c>
      <c r="J54" s="37">
        <f t="shared" si="21"/>
        <v>0</v>
      </c>
      <c r="K54" s="37">
        <f t="shared" si="21"/>
        <v>0</v>
      </c>
      <c r="L54" s="37">
        <f t="shared" si="21"/>
        <v>0</v>
      </c>
      <c r="M54" s="37">
        <f t="shared" si="21"/>
        <v>0</v>
      </c>
      <c r="N54" s="37">
        <f t="shared" si="21"/>
        <v>0</v>
      </c>
      <c r="O54" s="37">
        <f t="shared" si="21"/>
        <v>0</v>
      </c>
      <c r="P54" s="37">
        <f t="shared" si="21"/>
        <v>0</v>
      </c>
      <c r="Q54" s="37">
        <f t="shared" si="21"/>
        <v>0</v>
      </c>
      <c r="R54" s="67"/>
      <c r="S54" s="4">
        <v>47</v>
      </c>
    </row>
    <row r="55" spans="1:19">
      <c r="A55" s="91" t="s">
        <v>68</v>
      </c>
      <c r="B55" s="35">
        <f t="shared" si="17"/>
        <v>5278818.2067293022</v>
      </c>
      <c r="C55" s="92"/>
      <c r="D55" s="92"/>
      <c r="E55" s="93"/>
      <c r="F55" s="36">
        <f>F53+F54</f>
        <v>2325003.5125377593</v>
      </c>
      <c r="G55" s="36">
        <f>G53+G54</f>
        <v>2038857.5098090721</v>
      </c>
      <c r="H55" s="36">
        <f>H53+H54</f>
        <v>1246049.898852942</v>
      </c>
      <c r="I55" s="36">
        <f t="shared" ref="I55:Q55" si="22">I53+I54</f>
        <v>5278818.2067293022</v>
      </c>
      <c r="J55" s="36">
        <f t="shared" si="22"/>
        <v>1070304.48</v>
      </c>
      <c r="K55" s="36">
        <f t="shared" si="22"/>
        <v>1070304.48</v>
      </c>
      <c r="L55" s="36">
        <f t="shared" si="22"/>
        <v>1070304.48</v>
      </c>
      <c r="M55" s="36">
        <f t="shared" si="22"/>
        <v>1070304.48</v>
      </c>
      <c r="N55" s="36">
        <f t="shared" si="22"/>
        <v>1070304.48</v>
      </c>
      <c r="O55" s="36">
        <f t="shared" si="22"/>
        <v>1070304.48</v>
      </c>
      <c r="P55" s="36">
        <f t="shared" si="22"/>
        <v>1070304.48</v>
      </c>
      <c r="Q55" s="36">
        <f t="shared" si="22"/>
        <v>1070304.48</v>
      </c>
      <c r="R55" s="67"/>
      <c r="S55" s="4">
        <v>48</v>
      </c>
    </row>
    <row r="56" spans="1:19">
      <c r="A56" s="86" t="s">
        <v>84</v>
      </c>
      <c r="B56" s="88">
        <f t="shared" si="17"/>
        <v>2.8556687602457994E-2</v>
      </c>
      <c r="F56" s="88">
        <f t="shared" ref="F56:Q56" si="23">F53/F51</f>
        <v>2.0180392771674405E-4</v>
      </c>
      <c r="G56" s="88">
        <f t="shared" si="23"/>
        <v>3.9193794961653412E-3</v>
      </c>
      <c r="H56" s="88">
        <f t="shared" si="23"/>
        <v>5.1662241461404718E-3</v>
      </c>
      <c r="I56" s="88">
        <f t="shared" si="23"/>
        <v>2.8556687602457994E-2</v>
      </c>
      <c r="J56" s="88">
        <f t="shared" si="23"/>
        <v>2.8556687602457994E-2</v>
      </c>
      <c r="K56" s="88">
        <f t="shared" si="23"/>
        <v>2.8556687602457994E-2</v>
      </c>
      <c r="L56" s="88">
        <f t="shared" si="23"/>
        <v>2.8556687602457994E-2</v>
      </c>
      <c r="M56" s="88">
        <f t="shared" si="23"/>
        <v>2.8556687602457994E-2</v>
      </c>
      <c r="N56" s="88">
        <f t="shared" si="23"/>
        <v>2.8556687602457994E-2</v>
      </c>
      <c r="O56" s="88">
        <f t="shared" si="23"/>
        <v>2.8556687602457994E-2</v>
      </c>
      <c r="P56" s="88">
        <f t="shared" si="23"/>
        <v>2.8556687602457994E-2</v>
      </c>
      <c r="Q56" s="88">
        <f t="shared" si="23"/>
        <v>2.8556687602457994E-2</v>
      </c>
      <c r="R56" s="97"/>
      <c r="S56" s="4">
        <v>49</v>
      </c>
    </row>
    <row r="57" spans="1:19">
      <c r="A57" s="86" t="s">
        <v>85</v>
      </c>
      <c r="B57" s="88">
        <f t="shared" si="17"/>
        <v>0.14084362464757338</v>
      </c>
      <c r="F57" s="88">
        <f>F55/F51</f>
        <v>6.2033187959895597E-2</v>
      </c>
      <c r="G57" s="88">
        <f>G55/G51</f>
        <v>5.4398554861270043E-2</v>
      </c>
      <c r="H57" s="88">
        <f t="shared" ref="H57:Q57" si="24">H55/H51</f>
        <v>3.3245733680025188E-2</v>
      </c>
      <c r="I57" s="88">
        <f t="shared" si="24"/>
        <v>0.14084362464757338</v>
      </c>
      <c r="J57" s="88">
        <f t="shared" si="24"/>
        <v>2.8556687602457994E-2</v>
      </c>
      <c r="K57" s="88">
        <f t="shared" si="24"/>
        <v>2.8556687602457994E-2</v>
      </c>
      <c r="L57" s="88">
        <f t="shared" si="24"/>
        <v>2.8556687602457994E-2</v>
      </c>
      <c r="M57" s="88">
        <f t="shared" si="24"/>
        <v>2.8556687602457994E-2</v>
      </c>
      <c r="N57" s="88">
        <f t="shared" si="24"/>
        <v>2.8556687602457994E-2</v>
      </c>
      <c r="O57" s="88">
        <f t="shared" si="24"/>
        <v>2.8556687602457994E-2</v>
      </c>
      <c r="P57" s="88">
        <f t="shared" si="24"/>
        <v>2.8556687602457994E-2</v>
      </c>
      <c r="Q57" s="88">
        <f t="shared" si="24"/>
        <v>2.8556687602457994E-2</v>
      </c>
      <c r="R57" s="97"/>
      <c r="S57" s="4">
        <v>50</v>
      </c>
    </row>
    <row r="58" spans="1:19">
      <c r="A58" s="86" t="s">
        <v>86</v>
      </c>
      <c r="B58" s="88">
        <f t="shared" si="17"/>
        <v>8.5670062807373992E-2</v>
      </c>
      <c r="F58" s="88">
        <f t="shared" ref="F58:Q58" si="25">F53/F52</f>
        <v>2.4216471326009288E-3</v>
      </c>
      <c r="G58" s="88">
        <f t="shared" si="25"/>
        <v>2.3516276976992049E-2</v>
      </c>
      <c r="H58" s="88">
        <f t="shared" si="25"/>
        <v>2.0664896584561887E-2</v>
      </c>
      <c r="I58" s="88">
        <f t="shared" si="25"/>
        <v>8.5670062807373992E-2</v>
      </c>
      <c r="J58" s="88">
        <f t="shared" si="25"/>
        <v>6.8536050245899177E-2</v>
      </c>
      <c r="K58" s="88">
        <f t="shared" si="25"/>
        <v>5.7113375204915988E-2</v>
      </c>
      <c r="L58" s="88">
        <f t="shared" si="25"/>
        <v>4.8954321604213695E-2</v>
      </c>
      <c r="M58" s="88">
        <f t="shared" si="25"/>
        <v>4.2835031403686996E-2</v>
      </c>
      <c r="N58" s="88">
        <f t="shared" si="25"/>
        <v>3.807558346994399E-2</v>
      </c>
      <c r="O58" s="88">
        <f t="shared" si="25"/>
        <v>3.4268025122949589E-2</v>
      </c>
      <c r="P58" s="88">
        <f t="shared" si="25"/>
        <v>3.1152750111772359E-2</v>
      </c>
      <c r="Q58" s="88">
        <f t="shared" si="25"/>
        <v>2.8556687602457994E-2</v>
      </c>
      <c r="R58" s="97"/>
      <c r="S58" s="4">
        <v>51</v>
      </c>
    </row>
    <row r="59" spans="1:19">
      <c r="A59" s="61" t="s">
        <v>58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7"/>
      <c r="S59" s="4">
        <v>52</v>
      </c>
    </row>
    <row r="60" spans="1:19">
      <c r="A60" s="1" t="s">
        <v>64</v>
      </c>
      <c r="B60" s="31">
        <f>HLOOKUP($B$7,$F$8:$Q$74,S60,FALSE)</f>
        <v>149919976</v>
      </c>
      <c r="F60" s="102">
        <f>SUM($F$4:$I$4)+$F$5</f>
        <v>149919976</v>
      </c>
      <c r="G60" s="102">
        <f t="shared" ref="G60:Q60" si="26">SUM($F$4:$I$4)+$F$5</f>
        <v>149919976</v>
      </c>
      <c r="H60" s="102">
        <f t="shared" si="26"/>
        <v>149919976</v>
      </c>
      <c r="I60" s="102">
        <f t="shared" si="26"/>
        <v>149919976</v>
      </c>
      <c r="J60" s="102">
        <f t="shared" si="26"/>
        <v>149919976</v>
      </c>
      <c r="K60" s="102">
        <f>SUM($F$4:$I$4)+$F$5</f>
        <v>149919976</v>
      </c>
      <c r="L60" s="102">
        <f t="shared" si="26"/>
        <v>149919976</v>
      </c>
      <c r="M60" s="102">
        <f t="shared" si="26"/>
        <v>149919976</v>
      </c>
      <c r="N60" s="102">
        <f t="shared" si="26"/>
        <v>149919976</v>
      </c>
      <c r="O60" s="102">
        <f t="shared" si="26"/>
        <v>149919976</v>
      </c>
      <c r="P60" s="102">
        <f t="shared" si="26"/>
        <v>149919976</v>
      </c>
      <c r="Q60" s="102">
        <f t="shared" si="26"/>
        <v>149919976</v>
      </c>
      <c r="R60" s="97"/>
      <c r="S60" s="4">
        <v>53</v>
      </c>
    </row>
    <row r="61" spans="1:19">
      <c r="A61" s="86" t="s">
        <v>70</v>
      </c>
      <c r="B61" s="98">
        <f>HLOOKUP($B$7,$F$8:$Q$74,S61,FALSE)</f>
        <v>1070304.48</v>
      </c>
      <c r="F61" s="101">
        <f>F53</f>
        <v>7563.6100000000006</v>
      </c>
      <c r="G61" s="101">
        <f t="shared" ref="G61:Q61" si="27">G53</f>
        <v>146898.32</v>
      </c>
      <c r="H61" s="101">
        <f t="shared" si="27"/>
        <v>193630.05000000002</v>
      </c>
      <c r="I61" s="101">
        <f t="shared" si="27"/>
        <v>1070304.48</v>
      </c>
      <c r="J61" s="101">
        <f t="shared" si="27"/>
        <v>1070304.48</v>
      </c>
      <c r="K61" s="101">
        <f t="shared" si="27"/>
        <v>1070304.48</v>
      </c>
      <c r="L61" s="101">
        <f t="shared" si="27"/>
        <v>1070304.48</v>
      </c>
      <c r="M61" s="101">
        <f t="shared" si="27"/>
        <v>1070304.48</v>
      </c>
      <c r="N61" s="101">
        <f t="shared" si="27"/>
        <v>1070304.48</v>
      </c>
      <c r="O61" s="101">
        <f t="shared" si="27"/>
        <v>1070304.48</v>
      </c>
      <c r="P61" s="101">
        <f t="shared" si="27"/>
        <v>1070304.48</v>
      </c>
      <c r="Q61" s="101">
        <f t="shared" si="27"/>
        <v>1070304.48</v>
      </c>
      <c r="R61" s="97"/>
      <c r="S61" s="4">
        <v>54</v>
      </c>
    </row>
    <row r="62" spans="1:19">
      <c r="A62" s="91" t="s">
        <v>69</v>
      </c>
      <c r="B62" s="106">
        <f>HLOOKUP($B$7,$F$8:$Q$74,S62,FALSE)</f>
        <v>5278818.2067293022</v>
      </c>
      <c r="F62" s="35">
        <f>F61+F54</f>
        <v>2325003.5125377593</v>
      </c>
      <c r="G62" s="35">
        <f>G61+G54</f>
        <v>2038857.5098090721</v>
      </c>
      <c r="H62" s="35">
        <f t="shared" ref="H62:Q62" si="28">H61+H54</f>
        <v>1246049.898852942</v>
      </c>
      <c r="I62" s="35">
        <f t="shared" si="28"/>
        <v>5278818.2067293022</v>
      </c>
      <c r="J62" s="35">
        <f t="shared" si="28"/>
        <v>1070304.48</v>
      </c>
      <c r="K62" s="35">
        <f t="shared" si="28"/>
        <v>1070304.48</v>
      </c>
      <c r="L62" s="35">
        <f t="shared" si="28"/>
        <v>1070304.48</v>
      </c>
      <c r="M62" s="35">
        <f t="shared" si="28"/>
        <v>1070304.48</v>
      </c>
      <c r="N62" s="35">
        <f t="shared" si="28"/>
        <v>1070304.48</v>
      </c>
      <c r="O62" s="35">
        <f t="shared" si="28"/>
        <v>1070304.48</v>
      </c>
      <c r="P62" s="35">
        <f t="shared" si="28"/>
        <v>1070304.48</v>
      </c>
      <c r="Q62" s="35">
        <f t="shared" si="28"/>
        <v>1070304.48</v>
      </c>
      <c r="R62" s="97"/>
      <c r="S62" s="4">
        <v>55</v>
      </c>
    </row>
    <row r="63" spans="1:19">
      <c r="A63" s="86" t="s">
        <v>65</v>
      </c>
      <c r="B63" s="88">
        <f>HLOOKUP($B$7,$F$8:$Q$74,S63,FALSE)</f>
        <v>7.1391719006144985E-3</v>
      </c>
      <c r="F63" s="88">
        <f>F61/F60</f>
        <v>5.0450981929186012E-5</v>
      </c>
      <c r="G63" s="88">
        <f t="shared" ref="G63:Q63" si="29">G61/G60</f>
        <v>9.798448740413353E-4</v>
      </c>
      <c r="H63" s="88">
        <f t="shared" si="29"/>
        <v>1.2915560365351179E-3</v>
      </c>
      <c r="I63" s="88">
        <f t="shared" si="29"/>
        <v>7.1391719006144985E-3</v>
      </c>
      <c r="J63" s="88">
        <f t="shared" si="29"/>
        <v>7.1391719006144985E-3</v>
      </c>
      <c r="K63" s="88">
        <f t="shared" si="29"/>
        <v>7.1391719006144985E-3</v>
      </c>
      <c r="L63" s="88">
        <f t="shared" si="29"/>
        <v>7.1391719006144985E-3</v>
      </c>
      <c r="M63" s="88">
        <f t="shared" si="29"/>
        <v>7.1391719006144985E-3</v>
      </c>
      <c r="N63" s="88">
        <f t="shared" si="29"/>
        <v>7.1391719006144985E-3</v>
      </c>
      <c r="O63" s="88">
        <f t="shared" si="29"/>
        <v>7.1391719006144985E-3</v>
      </c>
      <c r="P63" s="88">
        <f t="shared" si="29"/>
        <v>7.1391719006144985E-3</v>
      </c>
      <c r="Q63" s="88">
        <f t="shared" si="29"/>
        <v>7.1391719006144985E-3</v>
      </c>
      <c r="R63" s="97"/>
      <c r="S63" s="4">
        <v>56</v>
      </c>
    </row>
    <row r="64" spans="1:19">
      <c r="A64" s="86" t="s">
        <v>66</v>
      </c>
      <c r="B64" s="88">
        <f>HLOOKUP($B$7,$F$8:$Q$74,S64,FALSE)</f>
        <v>3.5210906161893346E-2</v>
      </c>
      <c r="F64" s="88">
        <f>F62/F60</f>
        <v>1.5508296989973899E-2</v>
      </c>
      <c r="G64" s="88">
        <f t="shared" ref="G64:Q64" si="30">G62/G60</f>
        <v>1.3599638715317511E-2</v>
      </c>
      <c r="H64" s="88">
        <f t="shared" si="30"/>
        <v>8.3114334200062971E-3</v>
      </c>
      <c r="I64" s="88">
        <f t="shared" si="30"/>
        <v>3.5210906161893346E-2</v>
      </c>
      <c r="J64" s="88">
        <f t="shared" si="30"/>
        <v>7.1391719006144985E-3</v>
      </c>
      <c r="K64" s="88">
        <f t="shared" si="30"/>
        <v>7.1391719006144985E-3</v>
      </c>
      <c r="L64" s="88">
        <f t="shared" si="30"/>
        <v>7.1391719006144985E-3</v>
      </c>
      <c r="M64" s="88">
        <f t="shared" si="30"/>
        <v>7.1391719006144985E-3</v>
      </c>
      <c r="N64" s="88">
        <f t="shared" si="30"/>
        <v>7.1391719006144985E-3</v>
      </c>
      <c r="O64" s="88">
        <f t="shared" si="30"/>
        <v>7.1391719006144985E-3</v>
      </c>
      <c r="P64" s="88">
        <f t="shared" si="30"/>
        <v>7.1391719006144985E-3</v>
      </c>
      <c r="Q64" s="88">
        <f t="shared" si="30"/>
        <v>7.1391719006144985E-3</v>
      </c>
      <c r="R64" s="97"/>
      <c r="S64" s="4">
        <v>57</v>
      </c>
    </row>
    <row r="65" spans="1:20">
      <c r="A65" s="61" t="s">
        <v>17</v>
      </c>
      <c r="B65" s="5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5"/>
      <c r="S65" s="4">
        <v>58</v>
      </c>
    </row>
    <row r="66" spans="1:20">
      <c r="A66" s="18" t="s">
        <v>18</v>
      </c>
      <c r="B66" s="40">
        <f>HLOOKUP($B$7,$F$8:$Q$74,S66,FALSE)</f>
        <v>0</v>
      </c>
      <c r="E66" s="20" t="s">
        <v>36</v>
      </c>
      <c r="F66" s="58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20">
      <c r="A67" s="18" t="s">
        <v>19</v>
      </c>
      <c r="B67" s="40">
        <f>HLOOKUP($B$7,$F$8:$Q$74,S67,FALSE)</f>
        <v>0</v>
      </c>
      <c r="E67" s="20" t="s">
        <v>36</v>
      </c>
      <c r="F67" s="58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20">
      <c r="A68" s="18" t="s">
        <v>20</v>
      </c>
      <c r="B68" s="40">
        <f>HLOOKUP($B$7,$F$8:$Q$74,S68,FALSE)</f>
        <v>0</v>
      </c>
      <c r="E68" s="20" t="s">
        <v>36</v>
      </c>
      <c r="F68" s="58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20">
      <c r="A69" s="18" t="s">
        <v>21</v>
      </c>
      <c r="B69" s="40">
        <f>HLOOKUP($B$7,$F$8:$Q$74,S69,FALSE)</f>
        <v>0.9</v>
      </c>
      <c r="E69" s="20" t="s">
        <v>37</v>
      </c>
      <c r="F69" s="162">
        <v>0.9</v>
      </c>
      <c r="G69" s="162">
        <v>0.9</v>
      </c>
      <c r="H69" s="159">
        <v>0.9</v>
      </c>
      <c r="I69" s="159">
        <v>0.9</v>
      </c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20">
      <c r="A70" s="61" t="s">
        <v>8</v>
      </c>
      <c r="B70" s="5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5"/>
      <c r="S70" s="4">
        <v>63</v>
      </c>
    </row>
    <row r="71" spans="1:20">
      <c r="A71" s="18" t="s">
        <v>1</v>
      </c>
      <c r="B71" s="19">
        <f>HLOOKUP($B$7,$F$8:$Q$74,S71,FALSE)</f>
        <v>289</v>
      </c>
      <c r="E71" s="20" t="s">
        <v>30</v>
      </c>
      <c r="F71" s="7">
        <v>77</v>
      </c>
      <c r="G71" s="7">
        <v>150</v>
      </c>
      <c r="H71" s="7">
        <v>223</v>
      </c>
      <c r="I71" s="7">
        <v>289</v>
      </c>
      <c r="J71" s="7"/>
      <c r="K71" s="7"/>
      <c r="L71" s="7"/>
      <c r="M71" s="7"/>
      <c r="N71" s="7"/>
      <c r="O71" s="7"/>
      <c r="P71" s="7"/>
      <c r="Q71" s="7"/>
      <c r="R71" s="25"/>
      <c r="S71" s="4">
        <v>64</v>
      </c>
    </row>
    <row r="72" spans="1:20">
      <c r="A72" s="18" t="s">
        <v>119</v>
      </c>
      <c r="B72" s="19">
        <f>HLOOKUP($B$7,$F$8:$Q$74,S72,FALSE)</f>
        <v>270</v>
      </c>
      <c r="E72" s="20" t="s">
        <v>30</v>
      </c>
      <c r="F72" s="7">
        <v>83</v>
      </c>
      <c r="G72" s="7">
        <v>147</v>
      </c>
      <c r="H72" s="7">
        <v>197</v>
      </c>
      <c r="I72" s="7">
        <v>270</v>
      </c>
      <c r="J72" s="7"/>
      <c r="K72" s="7"/>
      <c r="L72" s="7"/>
      <c r="M72" s="7"/>
      <c r="N72" s="7"/>
      <c r="O72" s="7"/>
      <c r="P72" s="7"/>
      <c r="Q72" s="7"/>
      <c r="R72" s="25"/>
      <c r="S72" s="4">
        <v>65</v>
      </c>
    </row>
    <row r="73" spans="1:20" s="4" customFormat="1">
      <c r="A73" s="61" t="s">
        <v>32</v>
      </c>
      <c r="B73" s="59"/>
      <c r="C73" s="41"/>
      <c r="E73" s="4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5"/>
      <c r="S73" s="4">
        <v>66</v>
      </c>
    </row>
    <row r="74" spans="1:20" s="4" customFormat="1">
      <c r="A74" s="18" t="s">
        <v>33</v>
      </c>
      <c r="B74" s="19">
        <f>HLOOKUP($B$7,$F$8:$Q$74,S74,FALSE)</f>
        <v>66574</v>
      </c>
      <c r="C74" s="41"/>
      <c r="E74" s="20" t="s">
        <v>34</v>
      </c>
      <c r="F74" s="42">
        <v>66574</v>
      </c>
      <c r="G74" s="42">
        <v>66574</v>
      </c>
      <c r="H74" s="43">
        <f>G74</f>
        <v>66574</v>
      </c>
      <c r="I74" s="42">
        <f>H74</f>
        <v>66574</v>
      </c>
      <c r="J74" s="42"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5"/>
      <c r="S74" s="4">
        <v>67</v>
      </c>
    </row>
    <row r="75" spans="1:20" s="164" customFormat="1">
      <c r="A75" s="18" t="s">
        <v>146</v>
      </c>
      <c r="B75" s="19">
        <f>HLOOKUP($B$7,$F$8:$Q$75,S75,FALSE)</f>
        <v>0</v>
      </c>
      <c r="C75" s="41"/>
      <c r="D75" s="4"/>
      <c r="E75" s="20" t="s">
        <v>34</v>
      </c>
      <c r="F75" s="42">
        <v>0</v>
      </c>
      <c r="G75" s="42">
        <v>0</v>
      </c>
      <c r="H75" s="43">
        <f t="shared" ref="H75:J75" si="31">G75</f>
        <v>0</v>
      </c>
      <c r="I75" s="42">
        <f t="shared" si="31"/>
        <v>0</v>
      </c>
      <c r="J75" s="42">
        <f t="shared" si="31"/>
        <v>0</v>
      </c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5"/>
      <c r="S75" s="4">
        <v>68</v>
      </c>
      <c r="T75" s="4"/>
    </row>
    <row r="76" spans="1:20" s="4" customFormat="1" ht="9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20" s="4" customFormat="1">
      <c r="A77" s="72" t="s">
        <v>43</v>
      </c>
      <c r="B77" s="69"/>
      <c r="C77" s="41"/>
      <c r="R77" s="68"/>
    </row>
    <row r="78" spans="1:20" s="4" customFormat="1">
      <c r="A78" s="61" t="s">
        <v>31</v>
      </c>
      <c r="B78" s="12"/>
      <c r="C78" s="41"/>
      <c r="R78" s="68"/>
    </row>
    <row r="79" spans="1:20" s="4" customFormat="1">
      <c r="A79" s="84">
        <f>VLOOKUP(B7,E88:T99,2,FALSE)</f>
        <v>0</v>
      </c>
      <c r="B79" s="70"/>
      <c r="C79" s="41"/>
      <c r="R79" s="68"/>
    </row>
    <row r="80" spans="1:20" s="4" customFormat="1">
      <c r="A80" s="61" t="s">
        <v>40</v>
      </c>
      <c r="B80" s="12"/>
      <c r="C80" s="41"/>
      <c r="R80" s="68"/>
    </row>
    <row r="81" spans="1:20" s="4" customFormat="1">
      <c r="A81" s="84">
        <f>VLOOKUP(B7,E88:T99,6,FALSE)</f>
        <v>0</v>
      </c>
      <c r="B81" s="71"/>
      <c r="C81" s="41"/>
      <c r="R81" s="68"/>
    </row>
    <row r="82" spans="1:20" s="4" customFormat="1">
      <c r="A82" s="61" t="s">
        <v>44</v>
      </c>
      <c r="B82" s="12"/>
      <c r="C82" s="41"/>
      <c r="R82" s="68"/>
    </row>
    <row r="83" spans="1:20" s="4" customFormat="1" ht="15" customHeight="1">
      <c r="A83" s="84">
        <f>VLOOKUP(B7,E88:T99,10,FALSE)</f>
        <v>0</v>
      </c>
      <c r="B83" s="73"/>
      <c r="C83" s="41"/>
      <c r="R83" s="68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20">
      <c r="A86" s="7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0"/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1"/>
      <c r="S88" s="171"/>
      <c r="T88" s="171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1"/>
      <c r="S89" s="171"/>
      <c r="T89" s="171"/>
    </row>
    <row r="90" spans="1:20">
      <c r="D90" s="41"/>
      <c r="E90" s="14">
        <v>40969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/>
      <c r="S90" s="171"/>
      <c r="T90" s="171"/>
    </row>
    <row r="91" spans="1:20">
      <c r="D91" s="41"/>
      <c r="E91" s="14">
        <v>41000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1"/>
      <c r="S91" s="171"/>
      <c r="T91" s="171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</sheetData>
  <mergeCells count="54">
    <mergeCell ref="F98:I98"/>
    <mergeCell ref="J98:M98"/>
    <mergeCell ref="N98:Q98"/>
    <mergeCell ref="R98:T98"/>
    <mergeCell ref="F99:I99"/>
    <mergeCell ref="J99:M99"/>
    <mergeCell ref="N99:Q99"/>
    <mergeCell ref="R99:T99"/>
    <mergeCell ref="F96:I96"/>
    <mergeCell ref="J96:M96"/>
    <mergeCell ref="N96:Q96"/>
    <mergeCell ref="R96:T96"/>
    <mergeCell ref="F97:I97"/>
    <mergeCell ref="J97:M97"/>
    <mergeCell ref="N97:Q97"/>
    <mergeCell ref="R97:T97"/>
    <mergeCell ref="F94:I94"/>
    <mergeCell ref="J94:M94"/>
    <mergeCell ref="N94:Q94"/>
    <mergeCell ref="R94:T94"/>
    <mergeCell ref="F95:I95"/>
    <mergeCell ref="J95:M95"/>
    <mergeCell ref="N95:Q95"/>
    <mergeCell ref="R95:T95"/>
    <mergeCell ref="F92:I92"/>
    <mergeCell ref="J92:M92"/>
    <mergeCell ref="N92:Q92"/>
    <mergeCell ref="R92:T92"/>
    <mergeCell ref="F93:I93"/>
    <mergeCell ref="J93:M93"/>
    <mergeCell ref="N93:Q93"/>
    <mergeCell ref="R93:T93"/>
    <mergeCell ref="F90:I90"/>
    <mergeCell ref="J90:M90"/>
    <mergeCell ref="N90:Q90"/>
    <mergeCell ref="R90:T90"/>
    <mergeCell ref="F91:I91"/>
    <mergeCell ref="J91:M91"/>
    <mergeCell ref="N91:Q91"/>
    <mergeCell ref="R91:T91"/>
    <mergeCell ref="F88:I88"/>
    <mergeCell ref="J88:M88"/>
    <mergeCell ref="N88:Q88"/>
    <mergeCell ref="R88:T88"/>
    <mergeCell ref="F89:I89"/>
    <mergeCell ref="J89:M89"/>
    <mergeCell ref="N89:Q89"/>
    <mergeCell ref="R89:T89"/>
    <mergeCell ref="R87:T87"/>
    <mergeCell ref="D1:F1"/>
    <mergeCell ref="D85:G85"/>
    <mergeCell ref="F87:I87"/>
    <mergeCell ref="J87:M87"/>
    <mergeCell ref="N87:Q87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T100"/>
  <sheetViews>
    <sheetView showGridLines="0" topLeftCell="A49" workbookViewId="0">
      <selection activeCell="I72" sqref="I72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17" width="15.7109375" style="3" customWidth="1"/>
    <col min="18" max="18" width="15.7109375" style="63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08" t="s">
        <v>120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110</v>
      </c>
      <c r="C3" s="6"/>
      <c r="E3" s="111" t="s">
        <v>114</v>
      </c>
      <c r="F3" s="109">
        <v>9131</v>
      </c>
      <c r="G3" s="109">
        <v>9131</v>
      </c>
      <c r="H3" s="109">
        <v>9131</v>
      </c>
      <c r="I3" s="109">
        <v>9131</v>
      </c>
    </row>
    <row r="4" spans="1:19">
      <c r="A4" s="1" t="s">
        <v>9</v>
      </c>
      <c r="B4" s="113">
        <v>40841</v>
      </c>
      <c r="C4" s="8"/>
      <c r="E4" s="111" t="s">
        <v>74</v>
      </c>
      <c r="F4" s="110">
        <v>6091429</v>
      </c>
      <c r="G4" s="110">
        <v>6091429</v>
      </c>
      <c r="H4" s="110">
        <v>6091429</v>
      </c>
      <c r="I4" s="110">
        <v>6091429</v>
      </c>
      <c r="J4" s="10"/>
      <c r="K4" s="10"/>
      <c r="L4" s="10"/>
      <c r="M4" s="10"/>
      <c r="N4" s="10"/>
      <c r="O4" s="10"/>
      <c r="P4" s="10"/>
      <c r="Q4" s="10"/>
      <c r="R4" s="116"/>
    </row>
    <row r="5" spans="1:19">
      <c r="A5" s="46" t="s">
        <v>10</v>
      </c>
      <c r="B5" s="114">
        <v>40169</v>
      </c>
      <c r="C5" s="8"/>
      <c r="E5" s="111" t="s">
        <v>93</v>
      </c>
      <c r="F5" s="1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6"/>
    </row>
    <row r="6" spans="1:19">
      <c r="A6" s="1" t="s">
        <v>115</v>
      </c>
      <c r="B6" s="113" t="s">
        <v>116</v>
      </c>
      <c r="C6" s="8"/>
      <c r="E6" s="5" t="s">
        <v>117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6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6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4">
        <v>3</v>
      </c>
    </row>
    <row r="11" spans="1:19">
      <c r="A11" s="18" t="s">
        <v>22</v>
      </c>
      <c r="B11" s="19">
        <f>HLOOKUP($B$7,$F$8:$Q$74,S11,FALSE)</f>
        <v>909.7</v>
      </c>
      <c r="E11" s="20" t="s">
        <v>28</v>
      </c>
      <c r="F11" s="7">
        <v>0</v>
      </c>
      <c r="G11" s="7">
        <v>29.79</v>
      </c>
      <c r="H11" s="7">
        <v>780</v>
      </c>
      <c r="I11" s="7">
        <v>909.7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1719.49</v>
      </c>
      <c r="S11" s="4">
        <v>4</v>
      </c>
    </row>
    <row r="12" spans="1:19">
      <c r="A12" s="18" t="s">
        <v>118</v>
      </c>
      <c r="B12" s="75">
        <f>HLOOKUP($B$7,$F$8:$Q$74,S12,FALSE)</f>
        <v>7.5999999999999998E-2</v>
      </c>
      <c r="E12" s="20" t="s">
        <v>28</v>
      </c>
      <c r="F12" s="81">
        <v>0</v>
      </c>
      <c r="G12" s="81">
        <v>4.0000000000000001E-3</v>
      </c>
      <c r="H12" s="81">
        <v>0.15</v>
      </c>
      <c r="I12" s="81">
        <v>7.5999999999999998E-2</v>
      </c>
      <c r="J12" s="81"/>
      <c r="K12" s="81"/>
      <c r="L12" s="81"/>
      <c r="M12" s="81"/>
      <c r="N12" s="81"/>
      <c r="O12" s="81"/>
      <c r="P12" s="81"/>
      <c r="Q12" s="81"/>
      <c r="R12" s="80">
        <f t="shared" ref="R12:R13" si="0">SUM(F12:Q12)</f>
        <v>0.22999999999999998</v>
      </c>
      <c r="S12" s="4">
        <v>5</v>
      </c>
    </row>
    <row r="13" spans="1:19">
      <c r="A13" s="18" t="s">
        <v>23</v>
      </c>
      <c r="B13" s="19">
        <f>HLOOKUP($B$7,$F$8:$Q$74,S13,FALSE)</f>
        <v>-351.6</v>
      </c>
      <c r="E13" s="20" t="s">
        <v>28</v>
      </c>
      <c r="F13" s="7">
        <v>0</v>
      </c>
      <c r="G13" s="7">
        <v>-556</v>
      </c>
      <c r="H13" s="7">
        <v>-666</v>
      </c>
      <c r="I13" s="7">
        <v>-351.6</v>
      </c>
      <c r="J13" s="7"/>
      <c r="K13" s="7"/>
      <c r="L13" s="7"/>
      <c r="M13" s="7"/>
      <c r="N13" s="7"/>
      <c r="O13" s="7"/>
      <c r="P13" s="7"/>
      <c r="Q13" s="7"/>
      <c r="R13" s="24">
        <f t="shared" si="0"/>
        <v>-1573.6</v>
      </c>
      <c r="S13" s="4">
        <v>6</v>
      </c>
    </row>
    <row r="14" spans="1:19">
      <c r="A14" s="61" t="s">
        <v>88</v>
      </c>
      <c r="B14" s="59"/>
      <c r="E14" s="5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  <c r="S14" s="4">
        <v>7</v>
      </c>
    </row>
    <row r="15" spans="1:19">
      <c r="A15" s="1" t="s">
        <v>87</v>
      </c>
      <c r="B15" s="23">
        <f t="shared" ref="B15:B22" si="1">HLOOKUP($B$7,$F$8:$Q$74,S15,FALSE)</f>
        <v>9131</v>
      </c>
      <c r="E15" s="5"/>
      <c r="F15" s="24">
        <f>$F$3</f>
        <v>9131</v>
      </c>
      <c r="G15" s="24">
        <f t="shared" ref="G15:Q15" si="2">$F$3</f>
        <v>9131</v>
      </c>
      <c r="H15" s="24">
        <f t="shared" si="2"/>
        <v>9131</v>
      </c>
      <c r="I15" s="24">
        <f t="shared" si="2"/>
        <v>9131</v>
      </c>
      <c r="J15" s="24">
        <f t="shared" si="2"/>
        <v>9131</v>
      </c>
      <c r="K15" s="24">
        <f t="shared" si="2"/>
        <v>9131</v>
      </c>
      <c r="L15" s="24">
        <f t="shared" si="2"/>
        <v>9131</v>
      </c>
      <c r="M15" s="24">
        <f t="shared" si="2"/>
        <v>9131</v>
      </c>
      <c r="N15" s="24">
        <f t="shared" si="2"/>
        <v>9131</v>
      </c>
      <c r="O15" s="24">
        <f t="shared" si="2"/>
        <v>9131</v>
      </c>
      <c r="P15" s="24">
        <f t="shared" si="2"/>
        <v>9131</v>
      </c>
      <c r="Q15" s="24">
        <f t="shared" si="2"/>
        <v>9131</v>
      </c>
      <c r="R15" s="25"/>
      <c r="S15" s="4">
        <v>8</v>
      </c>
    </row>
    <row r="16" spans="1:19">
      <c r="A16" s="1" t="s">
        <v>89</v>
      </c>
      <c r="B16" s="23">
        <f t="shared" si="1"/>
        <v>3043.6666666666665</v>
      </c>
      <c r="E16" s="5"/>
      <c r="F16" s="24">
        <f>F15*(F9/12)</f>
        <v>760.91666666666663</v>
      </c>
      <c r="G16" s="24">
        <f t="shared" ref="G16:Q16" si="3">G15*(G9/12)</f>
        <v>1521.8333333333333</v>
      </c>
      <c r="H16" s="24">
        <f t="shared" si="3"/>
        <v>2282.75</v>
      </c>
      <c r="I16" s="24">
        <f t="shared" si="3"/>
        <v>3043.6666666666665</v>
      </c>
      <c r="J16" s="24">
        <f t="shared" si="3"/>
        <v>3804.5833333333335</v>
      </c>
      <c r="K16" s="24">
        <f t="shared" si="3"/>
        <v>4565.5</v>
      </c>
      <c r="L16" s="24">
        <f t="shared" si="3"/>
        <v>5326.416666666667</v>
      </c>
      <c r="M16" s="24">
        <f t="shared" si="3"/>
        <v>6087.333333333333</v>
      </c>
      <c r="N16" s="24">
        <f t="shared" si="3"/>
        <v>6848.25</v>
      </c>
      <c r="O16" s="24">
        <f t="shared" si="3"/>
        <v>7609.166666666667</v>
      </c>
      <c r="P16" s="24">
        <f t="shared" si="3"/>
        <v>8370.0833333333321</v>
      </c>
      <c r="Q16" s="24">
        <f t="shared" si="3"/>
        <v>9131</v>
      </c>
      <c r="R16" s="25"/>
      <c r="S16" s="4">
        <v>9</v>
      </c>
    </row>
    <row r="17" spans="1:19">
      <c r="A17" s="86" t="s">
        <v>82</v>
      </c>
      <c r="B17" s="19">
        <f t="shared" si="1"/>
        <v>1719.49</v>
      </c>
      <c r="E17" s="5"/>
      <c r="F17" s="21">
        <f>F11</f>
        <v>0</v>
      </c>
      <c r="G17" s="21">
        <f>F17+G11</f>
        <v>29.79</v>
      </c>
      <c r="H17" s="21">
        <f t="shared" ref="H17:Q17" si="4">G17+H11</f>
        <v>809.79</v>
      </c>
      <c r="I17" s="21">
        <f t="shared" si="4"/>
        <v>1719.49</v>
      </c>
      <c r="J17" s="21">
        <f t="shared" si="4"/>
        <v>1719.49</v>
      </c>
      <c r="K17" s="21">
        <f t="shared" si="4"/>
        <v>1719.49</v>
      </c>
      <c r="L17" s="21">
        <f t="shared" si="4"/>
        <v>1719.49</v>
      </c>
      <c r="M17" s="21">
        <f t="shared" si="4"/>
        <v>1719.49</v>
      </c>
      <c r="N17" s="21">
        <f t="shared" si="4"/>
        <v>1719.49</v>
      </c>
      <c r="O17" s="21">
        <f t="shared" si="4"/>
        <v>1719.49</v>
      </c>
      <c r="P17" s="21">
        <f t="shared" si="4"/>
        <v>1719.49</v>
      </c>
      <c r="Q17" s="21">
        <f t="shared" si="4"/>
        <v>1719.49</v>
      </c>
      <c r="R17" s="65"/>
      <c r="S17" s="4">
        <v>10</v>
      </c>
    </row>
    <row r="18" spans="1:19">
      <c r="A18" s="86" t="s">
        <v>14</v>
      </c>
      <c r="B18" s="19">
        <f t="shared" si="1"/>
        <v>2704</v>
      </c>
      <c r="E18" s="20" t="s">
        <v>30</v>
      </c>
      <c r="F18" s="7">
        <v>4910.2420000000002</v>
      </c>
      <c r="G18" s="7">
        <v>5219.2</v>
      </c>
      <c r="H18" s="7">
        <v>2443</v>
      </c>
      <c r="I18" s="7">
        <v>2704</v>
      </c>
      <c r="J18" s="7"/>
      <c r="K18" s="7"/>
      <c r="L18" s="7"/>
      <c r="M18" s="7"/>
      <c r="N18" s="7"/>
      <c r="O18" s="7"/>
      <c r="P18" s="7"/>
      <c r="Q18" s="7"/>
      <c r="R18" s="65"/>
      <c r="S18" s="4">
        <v>11</v>
      </c>
    </row>
    <row r="19" spans="1:19">
      <c r="A19" s="87" t="s">
        <v>47</v>
      </c>
      <c r="B19" s="51">
        <f t="shared" si="1"/>
        <v>4423.49</v>
      </c>
      <c r="C19" s="92"/>
      <c r="D19" s="92"/>
      <c r="E19" s="92"/>
      <c r="F19" s="26">
        <f>F17+F18</f>
        <v>4910.2420000000002</v>
      </c>
      <c r="G19" s="26">
        <f t="shared" ref="G19:Q19" si="5">G17+G18</f>
        <v>5248.99</v>
      </c>
      <c r="H19" s="26">
        <f t="shared" si="5"/>
        <v>3252.79</v>
      </c>
      <c r="I19" s="26">
        <f t="shared" si="5"/>
        <v>4423.49</v>
      </c>
      <c r="J19" s="26">
        <f t="shared" si="5"/>
        <v>1719.49</v>
      </c>
      <c r="K19" s="26">
        <f t="shared" si="5"/>
        <v>1719.49</v>
      </c>
      <c r="L19" s="26">
        <f t="shared" si="5"/>
        <v>1719.49</v>
      </c>
      <c r="M19" s="26">
        <f t="shared" si="5"/>
        <v>1719.49</v>
      </c>
      <c r="N19" s="26">
        <f t="shared" si="5"/>
        <v>1719.49</v>
      </c>
      <c r="O19" s="26">
        <f t="shared" si="5"/>
        <v>1719.49</v>
      </c>
      <c r="P19" s="26">
        <f t="shared" si="5"/>
        <v>1719.49</v>
      </c>
      <c r="Q19" s="26">
        <f t="shared" si="5"/>
        <v>1719.49</v>
      </c>
      <c r="R19" s="25"/>
      <c r="S19" s="4">
        <v>12</v>
      </c>
    </row>
    <row r="20" spans="1:19">
      <c r="A20" s="86" t="s">
        <v>24</v>
      </c>
      <c r="B20" s="88">
        <f t="shared" si="1"/>
        <v>0.18831343773956852</v>
      </c>
      <c r="F20" s="88">
        <f>F17/F15</f>
        <v>0</v>
      </c>
      <c r="G20" s="88">
        <f t="shared" ref="G20:Q20" si="6">G17/G15</f>
        <v>3.2625123206658636E-3</v>
      </c>
      <c r="H20" s="88">
        <f t="shared" si="6"/>
        <v>8.8685795641222212E-2</v>
      </c>
      <c r="I20" s="88">
        <f t="shared" si="6"/>
        <v>0.18831343773956852</v>
      </c>
      <c r="J20" s="88">
        <f t="shared" si="6"/>
        <v>0.18831343773956852</v>
      </c>
      <c r="K20" s="88">
        <f t="shared" si="6"/>
        <v>0.18831343773956852</v>
      </c>
      <c r="L20" s="88">
        <f t="shared" si="6"/>
        <v>0.18831343773956852</v>
      </c>
      <c r="M20" s="88">
        <f t="shared" si="6"/>
        <v>0.18831343773956852</v>
      </c>
      <c r="N20" s="88">
        <f t="shared" si="6"/>
        <v>0.18831343773956852</v>
      </c>
      <c r="O20" s="88">
        <f t="shared" si="6"/>
        <v>0.18831343773956852</v>
      </c>
      <c r="P20" s="88">
        <f t="shared" si="6"/>
        <v>0.18831343773956852</v>
      </c>
      <c r="Q20" s="88">
        <f t="shared" si="6"/>
        <v>0.18831343773956852</v>
      </c>
      <c r="R20" s="97"/>
      <c r="S20" s="4">
        <v>13</v>
      </c>
    </row>
    <row r="21" spans="1:19">
      <c r="A21" s="86" t="s">
        <v>48</v>
      </c>
      <c r="B21" s="88">
        <f t="shared" si="1"/>
        <v>0.48444748658416381</v>
      </c>
      <c r="F21" s="88">
        <f>F19/F15</f>
        <v>0.53775511992114777</v>
      </c>
      <c r="G21" s="88">
        <f t="shared" ref="G21:Q21" si="7">G19/G15</f>
        <v>0.57485379476508591</v>
      </c>
      <c r="H21" s="88">
        <f t="shared" si="7"/>
        <v>0.3562358996824006</v>
      </c>
      <c r="I21" s="88">
        <f t="shared" si="7"/>
        <v>0.48444748658416381</v>
      </c>
      <c r="J21" s="88">
        <f t="shared" si="7"/>
        <v>0.18831343773956852</v>
      </c>
      <c r="K21" s="88">
        <f t="shared" si="7"/>
        <v>0.18831343773956852</v>
      </c>
      <c r="L21" s="88">
        <f t="shared" si="7"/>
        <v>0.18831343773956852</v>
      </c>
      <c r="M21" s="88">
        <f t="shared" si="7"/>
        <v>0.18831343773956852</v>
      </c>
      <c r="N21" s="88">
        <f t="shared" si="7"/>
        <v>0.18831343773956852</v>
      </c>
      <c r="O21" s="88">
        <f t="shared" si="7"/>
        <v>0.18831343773956852</v>
      </c>
      <c r="P21" s="88">
        <f t="shared" si="7"/>
        <v>0.18831343773956852</v>
      </c>
      <c r="Q21" s="88">
        <f t="shared" si="7"/>
        <v>0.18831343773956852</v>
      </c>
      <c r="R21" s="97"/>
      <c r="S21" s="4">
        <v>14</v>
      </c>
    </row>
    <row r="22" spans="1:19">
      <c r="A22" s="86" t="s">
        <v>25</v>
      </c>
      <c r="B22" s="88">
        <f t="shared" si="1"/>
        <v>0.56494031321870553</v>
      </c>
      <c r="F22" s="88">
        <f>F17/F16</f>
        <v>0</v>
      </c>
      <c r="G22" s="88">
        <f t="shared" ref="G22:Q22" si="8">G17/G16</f>
        <v>1.9575073923995181E-2</v>
      </c>
      <c r="H22" s="88">
        <f t="shared" si="8"/>
        <v>0.35474318256488885</v>
      </c>
      <c r="I22" s="88">
        <f t="shared" si="8"/>
        <v>0.56494031321870553</v>
      </c>
      <c r="J22" s="88">
        <f t="shared" si="8"/>
        <v>0.45195225057496441</v>
      </c>
      <c r="K22" s="88">
        <f t="shared" si="8"/>
        <v>0.37662687547913704</v>
      </c>
      <c r="L22" s="88">
        <f t="shared" si="8"/>
        <v>0.32282303612497454</v>
      </c>
      <c r="M22" s="88">
        <f t="shared" si="8"/>
        <v>0.28247015660935276</v>
      </c>
      <c r="N22" s="88">
        <f t="shared" si="8"/>
        <v>0.25108458365275799</v>
      </c>
      <c r="O22" s="88">
        <f t="shared" si="8"/>
        <v>0.2259761252874822</v>
      </c>
      <c r="P22" s="88">
        <f t="shared" si="8"/>
        <v>0.20543284117043839</v>
      </c>
      <c r="Q22" s="88">
        <f t="shared" si="8"/>
        <v>0.18831343773956852</v>
      </c>
      <c r="R22" s="97"/>
      <c r="S22" s="4">
        <v>15</v>
      </c>
    </row>
    <row r="23" spans="1:19">
      <c r="A23" s="61" t="s">
        <v>90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5"/>
      <c r="S23" s="4">
        <v>16</v>
      </c>
    </row>
    <row r="24" spans="1:19">
      <c r="A24" s="86" t="s">
        <v>83</v>
      </c>
      <c r="B24" s="75">
        <f>HLOOKUP($B$7,$F$8:$Q$74,S24,FALSE)</f>
        <v>0.22999999999999998</v>
      </c>
      <c r="E24" s="76"/>
      <c r="F24" s="75">
        <f>F12</f>
        <v>0</v>
      </c>
      <c r="G24" s="75">
        <f t="shared" ref="G24:Q24" si="9">F24+G12</f>
        <v>4.0000000000000001E-3</v>
      </c>
      <c r="H24" s="75">
        <f t="shared" si="9"/>
        <v>0.154</v>
      </c>
      <c r="I24" s="75">
        <f t="shared" si="9"/>
        <v>0.22999999999999998</v>
      </c>
      <c r="J24" s="75">
        <f t="shared" si="9"/>
        <v>0.22999999999999998</v>
      </c>
      <c r="K24" s="75">
        <f t="shared" si="9"/>
        <v>0.22999999999999998</v>
      </c>
      <c r="L24" s="75">
        <f t="shared" si="9"/>
        <v>0.22999999999999998</v>
      </c>
      <c r="M24" s="75">
        <f t="shared" si="9"/>
        <v>0.22999999999999998</v>
      </c>
      <c r="N24" s="75">
        <f t="shared" si="9"/>
        <v>0.22999999999999998</v>
      </c>
      <c r="O24" s="75">
        <f t="shared" si="9"/>
        <v>0.22999999999999998</v>
      </c>
      <c r="P24" s="75">
        <f t="shared" si="9"/>
        <v>0.22999999999999998</v>
      </c>
      <c r="Q24" s="75">
        <f t="shared" si="9"/>
        <v>0.22999999999999998</v>
      </c>
      <c r="R24" s="25"/>
      <c r="S24" s="4">
        <v>17</v>
      </c>
    </row>
    <row r="25" spans="1:19">
      <c r="A25" s="86" t="s">
        <v>15</v>
      </c>
      <c r="B25" s="75">
        <f>HLOOKUP($B$7,$F$8:$Q$74,S25,FALSE)</f>
        <v>0.23300000000000001</v>
      </c>
      <c r="E25" s="20" t="s">
        <v>30</v>
      </c>
      <c r="F25" s="81">
        <v>1.0169999999999999</v>
      </c>
      <c r="G25" s="81">
        <v>0.69299999999999995</v>
      </c>
      <c r="H25" s="81">
        <v>0.58899999999999997</v>
      </c>
      <c r="I25" s="81">
        <v>0.23300000000000001</v>
      </c>
      <c r="J25" s="81"/>
      <c r="K25" s="81"/>
      <c r="L25" s="81"/>
      <c r="M25" s="81"/>
      <c r="N25" s="81"/>
      <c r="O25" s="81"/>
      <c r="P25" s="81"/>
      <c r="Q25" s="81"/>
      <c r="R25" s="25"/>
      <c r="S25" s="4">
        <v>18</v>
      </c>
    </row>
    <row r="26" spans="1:19">
      <c r="A26" s="89" t="s">
        <v>26</v>
      </c>
      <c r="B26" s="83">
        <f>HLOOKUP($B$7,$F$8:$Q$74,S26,FALSE)</f>
        <v>0.46299999999999997</v>
      </c>
      <c r="C26" s="92"/>
      <c r="D26" s="92"/>
      <c r="E26" s="99"/>
      <c r="F26" s="83">
        <f>F24+F25</f>
        <v>1.0169999999999999</v>
      </c>
      <c r="G26" s="83">
        <f>G24+G25</f>
        <v>0.69699999999999995</v>
      </c>
      <c r="H26" s="83">
        <f t="shared" ref="H26:Q26" si="10">H24+H25</f>
        <v>0.74299999999999999</v>
      </c>
      <c r="I26" s="83">
        <f>I24+I25</f>
        <v>0.46299999999999997</v>
      </c>
      <c r="J26" s="83">
        <f t="shared" si="10"/>
        <v>0.22999999999999998</v>
      </c>
      <c r="K26" s="83">
        <f t="shared" si="10"/>
        <v>0.22999999999999998</v>
      </c>
      <c r="L26" s="83">
        <f t="shared" si="10"/>
        <v>0.22999999999999998</v>
      </c>
      <c r="M26" s="83">
        <f t="shared" si="10"/>
        <v>0.22999999999999998</v>
      </c>
      <c r="N26" s="83">
        <f t="shared" si="10"/>
        <v>0.22999999999999998</v>
      </c>
      <c r="O26" s="83">
        <f t="shared" si="10"/>
        <v>0.22999999999999998</v>
      </c>
      <c r="P26" s="83">
        <f t="shared" si="10"/>
        <v>0.22999999999999998</v>
      </c>
      <c r="Q26" s="83">
        <f t="shared" si="10"/>
        <v>0.22999999999999998</v>
      </c>
      <c r="R26" s="25"/>
      <c r="S26" s="4">
        <v>19</v>
      </c>
    </row>
    <row r="27" spans="1:19">
      <c r="A27" s="61" t="s">
        <v>91</v>
      </c>
      <c r="B27" s="5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  <c r="S27" s="4">
        <v>20</v>
      </c>
    </row>
    <row r="28" spans="1:19">
      <c r="A28" s="86" t="s">
        <v>79</v>
      </c>
      <c r="B28" s="19">
        <f>HLOOKUP($B$7,$F$8:$Q$74,S28,FALSE)</f>
        <v>-1573.6</v>
      </c>
      <c r="F28" s="29">
        <f>F13</f>
        <v>0</v>
      </c>
      <c r="G28" s="29">
        <f t="shared" ref="G28:Q28" si="11">F28+G13</f>
        <v>-556</v>
      </c>
      <c r="H28" s="29">
        <f t="shared" si="11"/>
        <v>-1222</v>
      </c>
      <c r="I28" s="29">
        <f t="shared" si="11"/>
        <v>-1573.6</v>
      </c>
      <c r="J28" s="29">
        <f t="shared" si="11"/>
        <v>-1573.6</v>
      </c>
      <c r="K28" s="29">
        <f t="shared" si="11"/>
        <v>-1573.6</v>
      </c>
      <c r="L28" s="29">
        <f t="shared" si="11"/>
        <v>-1573.6</v>
      </c>
      <c r="M28" s="29">
        <f t="shared" si="11"/>
        <v>-1573.6</v>
      </c>
      <c r="N28" s="29">
        <f t="shared" si="11"/>
        <v>-1573.6</v>
      </c>
      <c r="O28" s="29">
        <f t="shared" si="11"/>
        <v>-1573.6</v>
      </c>
      <c r="P28" s="29">
        <f t="shared" si="11"/>
        <v>-1573.6</v>
      </c>
      <c r="Q28" s="29">
        <f t="shared" si="11"/>
        <v>-1573.6</v>
      </c>
      <c r="R28" s="64"/>
      <c r="S28" s="4">
        <v>21</v>
      </c>
    </row>
    <row r="29" spans="1:19">
      <c r="A29" s="86" t="s">
        <v>11</v>
      </c>
      <c r="B29" s="19">
        <f>HLOOKUP($B$7,$F$8:$Q$74,S29,FALSE)</f>
        <v>0</v>
      </c>
      <c r="E29" s="20" t="s">
        <v>30</v>
      </c>
      <c r="F29" s="7">
        <v>0</v>
      </c>
      <c r="G29" s="7">
        <v>0</v>
      </c>
      <c r="H29" s="7">
        <v>0</v>
      </c>
      <c r="I29" s="7">
        <v>0</v>
      </c>
      <c r="J29" s="7"/>
      <c r="K29" s="7"/>
      <c r="L29" s="7"/>
      <c r="M29" s="7"/>
      <c r="N29" s="7"/>
      <c r="O29" s="7"/>
      <c r="P29" s="7"/>
      <c r="Q29" s="7"/>
      <c r="R29" s="64"/>
      <c r="S29" s="4">
        <v>22</v>
      </c>
    </row>
    <row r="30" spans="1:19">
      <c r="A30" s="89" t="s">
        <v>45</v>
      </c>
      <c r="B30" s="51">
        <f>HLOOKUP($B$7,$F$8:$Q$74,S30,FALSE)</f>
        <v>-1573.6</v>
      </c>
      <c r="C30" s="92"/>
      <c r="D30" s="92"/>
      <c r="E30" s="92"/>
      <c r="F30" s="95">
        <f>F28+F29</f>
        <v>0</v>
      </c>
      <c r="G30" s="95">
        <f t="shared" ref="G30:P30" si="12">G28+G29</f>
        <v>-556</v>
      </c>
      <c r="H30" s="95">
        <f t="shared" si="12"/>
        <v>-1222</v>
      </c>
      <c r="I30" s="95">
        <f t="shared" si="12"/>
        <v>-1573.6</v>
      </c>
      <c r="J30" s="95">
        <f t="shared" si="12"/>
        <v>-1573.6</v>
      </c>
      <c r="K30" s="95">
        <f t="shared" si="12"/>
        <v>-1573.6</v>
      </c>
      <c r="L30" s="95">
        <f t="shared" si="12"/>
        <v>-1573.6</v>
      </c>
      <c r="M30" s="95">
        <f t="shared" si="12"/>
        <v>-1573.6</v>
      </c>
      <c r="N30" s="95">
        <f t="shared" si="12"/>
        <v>-1573.6</v>
      </c>
      <c r="O30" s="95">
        <f t="shared" si="12"/>
        <v>-1573.6</v>
      </c>
      <c r="P30" s="95">
        <f t="shared" si="12"/>
        <v>-1573.6</v>
      </c>
      <c r="Q30" s="95">
        <f>Q28+Q29</f>
        <v>-1573.6</v>
      </c>
      <c r="R30" s="64"/>
      <c r="S30" s="4">
        <v>23</v>
      </c>
    </row>
    <row r="31" spans="1:19">
      <c r="A31" s="61" t="s">
        <v>59</v>
      </c>
      <c r="B31" s="5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  <c r="S31" s="4">
        <v>24</v>
      </c>
    </row>
    <row r="32" spans="1:19">
      <c r="A32" s="90" t="s">
        <v>50</v>
      </c>
      <c r="B32" s="49">
        <f t="shared" ref="B32:B40" si="13">HLOOKUP($B$7,$F$8:$Q$74,S32,FALSE)</f>
        <v>10076.279999999999</v>
      </c>
      <c r="E32" s="20" t="s">
        <v>28</v>
      </c>
      <c r="F32" s="9">
        <v>1032.71</v>
      </c>
      <c r="G32" s="9">
        <v>22783.78</v>
      </c>
      <c r="H32" s="9">
        <v>7234.2599999999993</v>
      </c>
      <c r="I32" s="9">
        <v>10076.279999999999</v>
      </c>
      <c r="J32" s="9"/>
      <c r="K32" s="9"/>
      <c r="L32" s="9"/>
      <c r="M32" s="9"/>
      <c r="N32" s="9"/>
      <c r="O32" s="9"/>
      <c r="P32" s="9"/>
      <c r="Q32" s="9"/>
      <c r="R32" s="85">
        <f>SUM(F32:Q32)</f>
        <v>41127.03</v>
      </c>
      <c r="S32" s="4">
        <v>25</v>
      </c>
    </row>
    <row r="33" spans="1:19">
      <c r="A33" s="90" t="s">
        <v>51</v>
      </c>
      <c r="B33" s="49">
        <f t="shared" si="13"/>
        <v>0</v>
      </c>
      <c r="E33" s="20" t="s">
        <v>28</v>
      </c>
      <c r="F33" s="9">
        <v>0</v>
      </c>
      <c r="G33" s="9">
        <v>0</v>
      </c>
      <c r="H33" s="9">
        <v>0</v>
      </c>
      <c r="I33" s="9">
        <v>0</v>
      </c>
      <c r="J33" s="9"/>
      <c r="K33" s="9"/>
      <c r="L33" s="9"/>
      <c r="M33" s="9"/>
      <c r="N33" s="9"/>
      <c r="O33" s="9"/>
      <c r="P33" s="9"/>
      <c r="Q33" s="9"/>
      <c r="R33" s="85">
        <f t="shared" ref="R33:R38" si="14">SUM(F33:Q33)</f>
        <v>0</v>
      </c>
      <c r="S33" s="4">
        <v>26</v>
      </c>
    </row>
    <row r="34" spans="1:19">
      <c r="A34" s="90" t="s">
        <v>52</v>
      </c>
      <c r="B34" s="49">
        <f t="shared" si="13"/>
        <v>11708.949999999999</v>
      </c>
      <c r="E34" s="20" t="s">
        <v>28</v>
      </c>
      <c r="F34" s="9">
        <v>488.11</v>
      </c>
      <c r="G34" s="9">
        <v>1270.4100000000001</v>
      </c>
      <c r="H34" s="9">
        <v>1396.06</v>
      </c>
      <c r="I34" s="9">
        <v>11708.949999999999</v>
      </c>
      <c r="J34" s="9"/>
      <c r="K34" s="9"/>
      <c r="L34" s="9"/>
      <c r="M34" s="9"/>
      <c r="N34" s="9"/>
      <c r="O34" s="9"/>
      <c r="P34" s="9"/>
      <c r="Q34" s="9"/>
      <c r="R34" s="85">
        <f t="shared" si="14"/>
        <v>14863.529999999999</v>
      </c>
      <c r="S34" s="4">
        <v>27</v>
      </c>
    </row>
    <row r="35" spans="1:19">
      <c r="A35" s="90" t="s">
        <v>53</v>
      </c>
      <c r="B35" s="49">
        <f t="shared" si="13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4"/>
        <v>0</v>
      </c>
      <c r="S35" s="4">
        <v>28</v>
      </c>
    </row>
    <row r="36" spans="1:19">
      <c r="A36" s="90" t="s">
        <v>54</v>
      </c>
      <c r="B36" s="49">
        <f t="shared" si="13"/>
        <v>144152.28</v>
      </c>
      <c r="E36" s="20" t="s">
        <v>28</v>
      </c>
      <c r="F36" s="9">
        <v>0</v>
      </c>
      <c r="G36" s="9">
        <v>15514.3</v>
      </c>
      <c r="H36" s="9">
        <v>122330.34</v>
      </c>
      <c r="I36" s="9">
        <v>144152.28</v>
      </c>
      <c r="J36" s="9"/>
      <c r="K36" s="9"/>
      <c r="L36" s="9"/>
      <c r="M36" s="9"/>
      <c r="N36" s="9"/>
      <c r="O36" s="9"/>
      <c r="P36" s="9"/>
      <c r="Q36" s="9"/>
      <c r="R36" s="85">
        <f t="shared" si="14"/>
        <v>281996.92</v>
      </c>
      <c r="S36" s="4">
        <v>29</v>
      </c>
    </row>
    <row r="37" spans="1:19">
      <c r="A37" s="90" t="s">
        <v>55</v>
      </c>
      <c r="B37" s="49">
        <f t="shared" si="13"/>
        <v>173512.24</v>
      </c>
      <c r="E37" s="20" t="s">
        <v>28</v>
      </c>
      <c r="F37" s="9">
        <v>0</v>
      </c>
      <c r="G37" s="9">
        <v>0</v>
      </c>
      <c r="H37" s="9">
        <v>0</v>
      </c>
      <c r="I37" s="9">
        <v>173512.24</v>
      </c>
      <c r="J37" s="9"/>
      <c r="K37" s="9"/>
      <c r="L37" s="9"/>
      <c r="M37" s="9"/>
      <c r="N37" s="9"/>
      <c r="O37" s="9"/>
      <c r="P37" s="9"/>
      <c r="Q37" s="9"/>
      <c r="R37" s="85">
        <f t="shared" si="14"/>
        <v>173512.24</v>
      </c>
      <c r="S37" s="4">
        <v>30</v>
      </c>
    </row>
    <row r="38" spans="1:19">
      <c r="A38" s="90" t="s">
        <v>56</v>
      </c>
      <c r="B38" s="49">
        <f t="shared" si="13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 t="shared" si="14"/>
        <v>0</v>
      </c>
      <c r="S38" s="4">
        <v>31</v>
      </c>
    </row>
    <row r="39" spans="1:19">
      <c r="A39" s="90" t="s">
        <v>95</v>
      </c>
      <c r="B39" s="49">
        <f t="shared" si="13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/>
      <c r="S39" s="4">
        <v>32</v>
      </c>
    </row>
    <row r="40" spans="1:19">
      <c r="A40" s="89" t="s">
        <v>60</v>
      </c>
      <c r="B40" s="35">
        <f t="shared" si="13"/>
        <v>339449.75</v>
      </c>
      <c r="C40" s="92"/>
      <c r="D40" s="92"/>
      <c r="E40" s="92"/>
      <c r="F40" s="96">
        <f>SUM(F32:F39)</f>
        <v>1520.8200000000002</v>
      </c>
      <c r="G40" s="96">
        <f t="shared" ref="G40:Q40" si="15">SUM(G32:G39)</f>
        <v>39568.49</v>
      </c>
      <c r="H40" s="96">
        <f t="shared" si="15"/>
        <v>130960.66</v>
      </c>
      <c r="I40" s="96">
        <f t="shared" si="15"/>
        <v>339449.75</v>
      </c>
      <c r="J40" s="96">
        <f t="shared" si="15"/>
        <v>0</v>
      </c>
      <c r="K40" s="96">
        <f t="shared" si="15"/>
        <v>0</v>
      </c>
      <c r="L40" s="96">
        <f t="shared" si="15"/>
        <v>0</v>
      </c>
      <c r="M40" s="96">
        <f t="shared" si="15"/>
        <v>0</v>
      </c>
      <c r="N40" s="96">
        <f t="shared" si="15"/>
        <v>0</v>
      </c>
      <c r="O40" s="96">
        <f t="shared" si="15"/>
        <v>0</v>
      </c>
      <c r="P40" s="96">
        <f t="shared" si="15"/>
        <v>0</v>
      </c>
      <c r="Q40" s="96">
        <f t="shared" si="15"/>
        <v>0</v>
      </c>
      <c r="R40" s="66">
        <f>SUM(F40:Q40)</f>
        <v>511499.72</v>
      </c>
      <c r="S40" s="4">
        <v>33</v>
      </c>
    </row>
    <row r="41" spans="1:19">
      <c r="A41" s="61" t="s">
        <v>96</v>
      </c>
      <c r="B41" s="5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5"/>
      <c r="S41" s="4">
        <v>34</v>
      </c>
    </row>
    <row r="42" spans="1:19">
      <c r="A42" s="90" t="s">
        <v>100</v>
      </c>
      <c r="B42" s="98">
        <f>HLOOKUP($B$7,$F$8:$Q$74,S42,FALSE)</f>
        <v>56592.6776961176</v>
      </c>
      <c r="E42" s="20" t="s">
        <v>30</v>
      </c>
      <c r="F42" s="9">
        <v>149179.08610757071</v>
      </c>
      <c r="G42" s="9">
        <v>128664.13764789879</v>
      </c>
      <c r="H42" s="9">
        <v>55790.612929612827</v>
      </c>
      <c r="I42" s="9">
        <v>56592.6776961176</v>
      </c>
      <c r="J42" s="9"/>
      <c r="K42" s="9"/>
      <c r="L42" s="9"/>
      <c r="M42" s="9"/>
      <c r="N42" s="9"/>
      <c r="O42" s="9"/>
      <c r="P42" s="9"/>
      <c r="Q42" s="9"/>
      <c r="R42" s="25"/>
      <c r="S42" s="4">
        <v>35</v>
      </c>
    </row>
    <row r="43" spans="1:19">
      <c r="A43" s="90" t="s">
        <v>101</v>
      </c>
      <c r="B43" s="98">
        <f t="shared" ref="B43:B49" si="16">HLOOKUP($B$7,$F$8:$Q$74,S43,FALSE)</f>
        <v>1011.9777665595615</v>
      </c>
      <c r="E43" s="20" t="s">
        <v>30</v>
      </c>
      <c r="F43" s="9">
        <v>510.15299990761355</v>
      </c>
      <c r="G43" s="9">
        <v>2363.2364851081188</v>
      </c>
      <c r="H43" s="9">
        <v>1025.1991207438909</v>
      </c>
      <c r="I43" s="9">
        <v>1011.9777665595615</v>
      </c>
      <c r="J43" s="9"/>
      <c r="K43" s="9"/>
      <c r="L43" s="9"/>
      <c r="M43" s="9"/>
      <c r="N43" s="9"/>
      <c r="O43" s="9"/>
      <c r="P43" s="9"/>
      <c r="Q43" s="9"/>
      <c r="R43" s="25"/>
      <c r="S43" s="4">
        <v>36</v>
      </c>
    </row>
    <row r="44" spans="1:19">
      <c r="A44" s="90" t="s">
        <v>102</v>
      </c>
      <c r="B44" s="98">
        <f t="shared" si="16"/>
        <v>37508.042853671257</v>
      </c>
      <c r="E44" s="20" t="s">
        <v>30</v>
      </c>
      <c r="F44" s="9">
        <v>48370.656888753714</v>
      </c>
      <c r="G44" s="9">
        <v>87993.071475928169</v>
      </c>
      <c r="H44" s="9">
        <v>37570.989793113018</v>
      </c>
      <c r="I44" s="9">
        <v>37508.042853671257</v>
      </c>
      <c r="J44" s="9"/>
      <c r="K44" s="9"/>
      <c r="L44" s="9"/>
      <c r="M44" s="9"/>
      <c r="N44" s="9"/>
      <c r="O44" s="9"/>
      <c r="P44" s="9"/>
      <c r="Q44" s="9"/>
      <c r="R44" s="25"/>
      <c r="S44" s="4">
        <v>37</v>
      </c>
    </row>
    <row r="45" spans="1:19">
      <c r="A45" s="90" t="s">
        <v>103</v>
      </c>
      <c r="B45" s="98">
        <f t="shared" si="16"/>
        <v>9.8010937729135552</v>
      </c>
      <c r="E45" s="20" t="s">
        <v>30</v>
      </c>
      <c r="F45" s="9">
        <v>0</v>
      </c>
      <c r="G45" s="9">
        <v>0</v>
      </c>
      <c r="H45" s="9">
        <v>9.6723143127987381</v>
      </c>
      <c r="I45" s="9">
        <v>9.8010937729135552</v>
      </c>
      <c r="J45" s="9"/>
      <c r="K45" s="9"/>
      <c r="L45" s="9"/>
      <c r="M45" s="9"/>
      <c r="N45" s="9"/>
      <c r="O45" s="9"/>
      <c r="P45" s="9"/>
      <c r="Q45" s="9"/>
      <c r="R45" s="25"/>
      <c r="S45" s="4">
        <v>38</v>
      </c>
    </row>
    <row r="46" spans="1:19">
      <c r="A46" s="90" t="s">
        <v>104</v>
      </c>
      <c r="B46" s="98">
        <f t="shared" si="16"/>
        <v>686508.94352230232</v>
      </c>
      <c r="E46" s="20" t="s">
        <v>30</v>
      </c>
      <c r="F46" s="9">
        <v>628964</v>
      </c>
      <c r="G46" s="9">
        <v>675949</v>
      </c>
      <c r="H46" s="9">
        <v>676327.08041022648</v>
      </c>
      <c r="I46" s="9">
        <v>686508.94352230232</v>
      </c>
      <c r="J46" s="9"/>
      <c r="K46" s="9"/>
      <c r="L46" s="9"/>
      <c r="M46" s="9"/>
      <c r="N46" s="9"/>
      <c r="O46" s="9"/>
      <c r="P46" s="9"/>
      <c r="Q46" s="9"/>
      <c r="R46" s="25"/>
      <c r="S46" s="4">
        <v>39</v>
      </c>
    </row>
    <row r="47" spans="1:19">
      <c r="A47" s="90" t="s">
        <v>105</v>
      </c>
      <c r="B47" s="98">
        <f t="shared" si="16"/>
        <v>226697.14989902178</v>
      </c>
      <c r="E47" s="20" t="s">
        <v>30</v>
      </c>
      <c r="F47" s="9">
        <v>181056.06515052688</v>
      </c>
      <c r="G47" s="9">
        <v>529472.91994339041</v>
      </c>
      <c r="H47" s="9">
        <v>225653.55130498164</v>
      </c>
      <c r="I47" s="9">
        <v>226697.14989902178</v>
      </c>
      <c r="J47" s="9"/>
      <c r="K47" s="9"/>
      <c r="L47" s="9"/>
      <c r="M47" s="9"/>
      <c r="N47" s="9"/>
      <c r="O47" s="9"/>
      <c r="P47" s="9"/>
      <c r="Q47" s="9"/>
      <c r="R47" s="25"/>
      <c r="S47" s="4">
        <v>40</v>
      </c>
    </row>
    <row r="48" spans="1:19">
      <c r="A48" s="90" t="s">
        <v>106</v>
      </c>
      <c r="B48" s="98">
        <f t="shared" si="16"/>
        <v>25262.715216503366</v>
      </c>
      <c r="E48" s="20" t="s">
        <v>30</v>
      </c>
      <c r="F48" s="9">
        <v>13641.650981553103</v>
      </c>
      <c r="G48" s="9">
        <v>42208.143691350473</v>
      </c>
      <c r="H48" s="9">
        <v>23307.769668207133</v>
      </c>
      <c r="I48" s="9">
        <v>25262.715216503366</v>
      </c>
      <c r="J48" s="9"/>
      <c r="K48" s="9"/>
      <c r="L48" s="9"/>
      <c r="M48" s="9"/>
      <c r="N48" s="9"/>
      <c r="O48" s="9"/>
      <c r="P48" s="9"/>
      <c r="Q48" s="9"/>
      <c r="R48" s="25"/>
      <c r="S48" s="4">
        <v>41</v>
      </c>
    </row>
    <row r="49" spans="1:19">
      <c r="A49" s="90" t="s">
        <v>107</v>
      </c>
      <c r="B49" s="98">
        <f t="shared" si="16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5"/>
      <c r="S49" s="4">
        <v>42</v>
      </c>
    </row>
    <row r="50" spans="1:19">
      <c r="A50" s="61" t="s">
        <v>62</v>
      </c>
      <c r="B50" s="5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4">
        <v>43</v>
      </c>
    </row>
    <row r="51" spans="1:19">
      <c r="A51" s="1" t="s">
        <v>71</v>
      </c>
      <c r="B51" s="31">
        <f t="shared" ref="B51:B58" si="17">HLOOKUP($B$7,$F$8:$Q$74,S51,FALSE)</f>
        <v>6091429</v>
      </c>
      <c r="F51" s="32">
        <f>$F$4+$F$5</f>
        <v>6091429</v>
      </c>
      <c r="G51" s="32">
        <f t="shared" ref="G51:Q51" si="18">$F$4+$F$5</f>
        <v>6091429</v>
      </c>
      <c r="H51" s="32">
        <f t="shared" si="18"/>
        <v>6091429</v>
      </c>
      <c r="I51" s="32">
        <f t="shared" si="18"/>
        <v>6091429</v>
      </c>
      <c r="J51" s="32">
        <f t="shared" si="18"/>
        <v>6091429</v>
      </c>
      <c r="K51" s="32">
        <f t="shared" si="18"/>
        <v>6091429</v>
      </c>
      <c r="L51" s="32">
        <f t="shared" si="18"/>
        <v>6091429</v>
      </c>
      <c r="M51" s="32">
        <f t="shared" si="18"/>
        <v>6091429</v>
      </c>
      <c r="N51" s="32">
        <f t="shared" si="18"/>
        <v>6091429</v>
      </c>
      <c r="O51" s="32">
        <f t="shared" si="18"/>
        <v>6091429</v>
      </c>
      <c r="P51" s="32">
        <f t="shared" si="18"/>
        <v>6091429</v>
      </c>
      <c r="Q51" s="32">
        <f t="shared" si="18"/>
        <v>6091429</v>
      </c>
      <c r="R51" s="62"/>
      <c r="S51" s="4">
        <v>44</v>
      </c>
    </row>
    <row r="52" spans="1:19">
      <c r="A52" s="1" t="s">
        <v>72</v>
      </c>
      <c r="B52" s="31">
        <f t="shared" si="17"/>
        <v>2030476.3333333333</v>
      </c>
      <c r="F52" s="33">
        <f t="shared" ref="F52:Q52" si="19">F51*(F9/12)</f>
        <v>507619.08333333331</v>
      </c>
      <c r="G52" s="33">
        <f t="shared" si="19"/>
        <v>1015238.1666666666</v>
      </c>
      <c r="H52" s="33">
        <f t="shared" si="19"/>
        <v>1522857.25</v>
      </c>
      <c r="I52" s="33">
        <f t="shared" si="19"/>
        <v>2030476.3333333333</v>
      </c>
      <c r="J52" s="33">
        <f t="shared" si="19"/>
        <v>2538095.416666667</v>
      </c>
      <c r="K52" s="33">
        <f t="shared" si="19"/>
        <v>3045714.5</v>
      </c>
      <c r="L52" s="33">
        <f t="shared" si="19"/>
        <v>3553333.5833333335</v>
      </c>
      <c r="M52" s="33">
        <f t="shared" si="19"/>
        <v>4060952.6666666665</v>
      </c>
      <c r="N52" s="33">
        <f t="shared" si="19"/>
        <v>4568571.75</v>
      </c>
      <c r="O52" s="33">
        <f t="shared" si="19"/>
        <v>5076190.833333334</v>
      </c>
      <c r="P52" s="33">
        <f t="shared" si="19"/>
        <v>5583809.916666666</v>
      </c>
      <c r="Q52" s="33">
        <f t="shared" si="19"/>
        <v>6091429</v>
      </c>
      <c r="R52" s="64"/>
      <c r="S52" s="4">
        <v>45</v>
      </c>
    </row>
    <row r="53" spans="1:19">
      <c r="A53" s="86" t="s">
        <v>67</v>
      </c>
      <c r="B53" s="98">
        <f t="shared" si="17"/>
        <v>511499.72</v>
      </c>
      <c r="F53" s="37">
        <f>F40</f>
        <v>1520.8200000000002</v>
      </c>
      <c r="G53" s="37">
        <f t="shared" ref="G53:Q53" si="20">F53+G40</f>
        <v>41089.31</v>
      </c>
      <c r="H53" s="37">
        <f t="shared" si="20"/>
        <v>172049.97</v>
      </c>
      <c r="I53" s="37">
        <f t="shared" si="20"/>
        <v>511499.72</v>
      </c>
      <c r="J53" s="37">
        <f t="shared" si="20"/>
        <v>511499.72</v>
      </c>
      <c r="K53" s="37">
        <f t="shared" si="20"/>
        <v>511499.72</v>
      </c>
      <c r="L53" s="37">
        <f t="shared" si="20"/>
        <v>511499.72</v>
      </c>
      <c r="M53" s="37">
        <f t="shared" si="20"/>
        <v>511499.72</v>
      </c>
      <c r="N53" s="37">
        <f t="shared" si="20"/>
        <v>511499.72</v>
      </c>
      <c r="O53" s="37">
        <f t="shared" si="20"/>
        <v>511499.72</v>
      </c>
      <c r="P53" s="37">
        <f t="shared" si="20"/>
        <v>511499.72</v>
      </c>
      <c r="Q53" s="37">
        <f t="shared" si="20"/>
        <v>511499.72</v>
      </c>
      <c r="R53" s="67"/>
      <c r="S53" s="4">
        <v>46</v>
      </c>
    </row>
    <row r="54" spans="1:19">
      <c r="A54" s="86" t="s">
        <v>16</v>
      </c>
      <c r="B54" s="98">
        <f t="shared" si="17"/>
        <v>1033591.3080479488</v>
      </c>
      <c r="E54" s="3"/>
      <c r="F54" s="37">
        <f>SUM(F42:F49)</f>
        <v>1021721.612128312</v>
      </c>
      <c r="G54" s="37">
        <f t="shared" ref="G54:Q54" si="21">SUM(G42:G49)</f>
        <v>1466650.509243676</v>
      </c>
      <c r="H54" s="37">
        <f t="shared" si="21"/>
        <v>1019684.8755411977</v>
      </c>
      <c r="I54" s="37">
        <f t="shared" si="21"/>
        <v>1033591.3080479488</v>
      </c>
      <c r="J54" s="37">
        <f t="shared" si="21"/>
        <v>0</v>
      </c>
      <c r="K54" s="37">
        <f t="shared" si="21"/>
        <v>0</v>
      </c>
      <c r="L54" s="37">
        <f t="shared" si="21"/>
        <v>0</v>
      </c>
      <c r="M54" s="37">
        <f t="shared" si="21"/>
        <v>0</v>
      </c>
      <c r="N54" s="37">
        <f t="shared" si="21"/>
        <v>0</v>
      </c>
      <c r="O54" s="37">
        <f t="shared" si="21"/>
        <v>0</v>
      </c>
      <c r="P54" s="37">
        <f t="shared" si="21"/>
        <v>0</v>
      </c>
      <c r="Q54" s="37">
        <f t="shared" si="21"/>
        <v>0</v>
      </c>
      <c r="R54" s="67"/>
      <c r="S54" s="4">
        <v>47</v>
      </c>
    </row>
    <row r="55" spans="1:19">
      <c r="A55" s="91" t="s">
        <v>68</v>
      </c>
      <c r="B55" s="35">
        <f t="shared" si="17"/>
        <v>1545091.0280479486</v>
      </c>
      <c r="C55" s="92"/>
      <c r="D55" s="92"/>
      <c r="E55" s="93"/>
      <c r="F55" s="36">
        <f>F53+F54</f>
        <v>1023242.4321283119</v>
      </c>
      <c r="G55" s="36">
        <f>G53+G54</f>
        <v>1507739.819243676</v>
      </c>
      <c r="H55" s="36">
        <f>H53+H54</f>
        <v>1191734.8455411978</v>
      </c>
      <c r="I55" s="36">
        <f t="shared" ref="I55:Q55" si="22">I53+I54</f>
        <v>1545091.0280479486</v>
      </c>
      <c r="J55" s="36">
        <f t="shared" si="22"/>
        <v>511499.72</v>
      </c>
      <c r="K55" s="36">
        <f t="shared" si="22"/>
        <v>511499.72</v>
      </c>
      <c r="L55" s="36">
        <f t="shared" si="22"/>
        <v>511499.72</v>
      </c>
      <c r="M55" s="36">
        <f t="shared" si="22"/>
        <v>511499.72</v>
      </c>
      <c r="N55" s="36">
        <f t="shared" si="22"/>
        <v>511499.72</v>
      </c>
      <c r="O55" s="36">
        <f t="shared" si="22"/>
        <v>511499.72</v>
      </c>
      <c r="P55" s="36">
        <f t="shared" si="22"/>
        <v>511499.72</v>
      </c>
      <c r="Q55" s="36">
        <f t="shared" si="22"/>
        <v>511499.72</v>
      </c>
      <c r="R55" s="67"/>
      <c r="S55" s="4">
        <v>48</v>
      </c>
    </row>
    <row r="56" spans="1:19">
      <c r="A56" s="86" t="s">
        <v>84</v>
      </c>
      <c r="B56" s="88">
        <f t="shared" si="17"/>
        <v>8.3970398407335944E-2</v>
      </c>
      <c r="F56" s="88">
        <f t="shared" ref="F56:Q56" si="23">F53/F51</f>
        <v>2.4966555466705761E-4</v>
      </c>
      <c r="G56" s="88">
        <f t="shared" si="23"/>
        <v>6.7454303415503975E-3</v>
      </c>
      <c r="H56" s="88">
        <f t="shared" si="23"/>
        <v>2.8244599091608882E-2</v>
      </c>
      <c r="I56" s="88">
        <f t="shared" si="23"/>
        <v>8.3970398407335944E-2</v>
      </c>
      <c r="J56" s="88">
        <f t="shared" si="23"/>
        <v>8.3970398407335944E-2</v>
      </c>
      <c r="K56" s="88">
        <f t="shared" si="23"/>
        <v>8.3970398407335944E-2</v>
      </c>
      <c r="L56" s="88">
        <f t="shared" si="23"/>
        <v>8.3970398407335944E-2</v>
      </c>
      <c r="M56" s="88">
        <f t="shared" si="23"/>
        <v>8.3970398407335944E-2</v>
      </c>
      <c r="N56" s="88">
        <f t="shared" si="23"/>
        <v>8.3970398407335944E-2</v>
      </c>
      <c r="O56" s="88">
        <f t="shared" si="23"/>
        <v>8.3970398407335944E-2</v>
      </c>
      <c r="P56" s="88">
        <f t="shared" si="23"/>
        <v>8.3970398407335944E-2</v>
      </c>
      <c r="Q56" s="88">
        <f t="shared" si="23"/>
        <v>8.3970398407335944E-2</v>
      </c>
      <c r="R56" s="97"/>
      <c r="S56" s="4">
        <v>49</v>
      </c>
    </row>
    <row r="57" spans="1:19">
      <c r="A57" s="86" t="s">
        <v>85</v>
      </c>
      <c r="B57" s="88">
        <f t="shared" si="17"/>
        <v>0.25365001021073191</v>
      </c>
      <c r="F57" s="88">
        <f>F55/F51</f>
        <v>0.16798068763968388</v>
      </c>
      <c r="G57" s="88">
        <f>G55/G51</f>
        <v>0.24751824559453553</v>
      </c>
      <c r="H57" s="88">
        <f t="shared" ref="H57:Q57" si="24">H55/H51</f>
        <v>0.19564126012815675</v>
      </c>
      <c r="I57" s="88">
        <f t="shared" si="24"/>
        <v>0.25365001021073191</v>
      </c>
      <c r="J57" s="88">
        <f t="shared" si="24"/>
        <v>8.3970398407335944E-2</v>
      </c>
      <c r="K57" s="88">
        <f t="shared" si="24"/>
        <v>8.3970398407335944E-2</v>
      </c>
      <c r="L57" s="88">
        <f t="shared" si="24"/>
        <v>8.3970398407335944E-2</v>
      </c>
      <c r="M57" s="88">
        <f t="shared" si="24"/>
        <v>8.3970398407335944E-2</v>
      </c>
      <c r="N57" s="88">
        <f t="shared" si="24"/>
        <v>8.3970398407335944E-2</v>
      </c>
      <c r="O57" s="88">
        <f t="shared" si="24"/>
        <v>8.3970398407335944E-2</v>
      </c>
      <c r="P57" s="88">
        <f t="shared" si="24"/>
        <v>8.3970398407335944E-2</v>
      </c>
      <c r="Q57" s="88">
        <f t="shared" si="24"/>
        <v>8.3970398407335944E-2</v>
      </c>
      <c r="R57" s="97"/>
      <c r="S57" s="4">
        <v>50</v>
      </c>
    </row>
    <row r="58" spans="1:19">
      <c r="A58" s="86" t="s">
        <v>86</v>
      </c>
      <c r="B58" s="88">
        <f t="shared" si="17"/>
        <v>0.25191119522200783</v>
      </c>
      <c r="F58" s="88">
        <f t="shared" ref="F58:Q58" si="25">F53/F52</f>
        <v>2.9959866560046915E-3</v>
      </c>
      <c r="G58" s="88">
        <f t="shared" si="25"/>
        <v>4.0472582049302389E-2</v>
      </c>
      <c r="H58" s="88">
        <f t="shared" si="25"/>
        <v>0.11297839636643553</v>
      </c>
      <c r="I58" s="88">
        <f t="shared" si="25"/>
        <v>0.25191119522200783</v>
      </c>
      <c r="J58" s="88">
        <f t="shared" si="25"/>
        <v>0.20152895617760624</v>
      </c>
      <c r="K58" s="88">
        <f t="shared" si="25"/>
        <v>0.16794079681467189</v>
      </c>
      <c r="L58" s="88">
        <f t="shared" si="25"/>
        <v>0.14394925441257589</v>
      </c>
      <c r="M58" s="88">
        <f t="shared" si="25"/>
        <v>0.12595559761100392</v>
      </c>
      <c r="N58" s="88">
        <f t="shared" si="25"/>
        <v>0.11196053120978125</v>
      </c>
      <c r="O58" s="88">
        <f t="shared" si="25"/>
        <v>0.10076447808880312</v>
      </c>
      <c r="P58" s="88">
        <f t="shared" si="25"/>
        <v>9.160407098982104E-2</v>
      </c>
      <c r="Q58" s="88">
        <f t="shared" si="25"/>
        <v>8.3970398407335944E-2</v>
      </c>
      <c r="R58" s="97"/>
      <c r="S58" s="4">
        <v>51</v>
      </c>
    </row>
    <row r="59" spans="1:19">
      <c r="A59" s="61" t="s">
        <v>58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7"/>
      <c r="S59" s="4">
        <v>52</v>
      </c>
    </row>
    <row r="60" spans="1:19">
      <c r="A60" s="1" t="s">
        <v>64</v>
      </c>
      <c r="B60" s="31">
        <f>HLOOKUP($B$7,$F$8:$Q$74,S60,FALSE)</f>
        <v>24365716</v>
      </c>
      <c r="F60" s="102">
        <f>SUM($F$4:$I$4)+$F$5</f>
        <v>24365716</v>
      </c>
      <c r="G60" s="102">
        <f t="shared" ref="G60:Q60" si="26">SUM($F$4:$I$4)+$F$5</f>
        <v>24365716</v>
      </c>
      <c r="H60" s="102">
        <f t="shared" si="26"/>
        <v>24365716</v>
      </c>
      <c r="I60" s="102">
        <f t="shared" si="26"/>
        <v>24365716</v>
      </c>
      <c r="J60" s="102">
        <f t="shared" si="26"/>
        <v>24365716</v>
      </c>
      <c r="K60" s="102">
        <f>SUM($F$4:$I$4)+$F$5</f>
        <v>24365716</v>
      </c>
      <c r="L60" s="102">
        <f t="shared" si="26"/>
        <v>24365716</v>
      </c>
      <c r="M60" s="102">
        <f t="shared" si="26"/>
        <v>24365716</v>
      </c>
      <c r="N60" s="102">
        <f t="shared" si="26"/>
        <v>24365716</v>
      </c>
      <c r="O60" s="102">
        <f t="shared" si="26"/>
        <v>24365716</v>
      </c>
      <c r="P60" s="102">
        <f t="shared" si="26"/>
        <v>24365716</v>
      </c>
      <c r="Q60" s="102">
        <f t="shared" si="26"/>
        <v>24365716</v>
      </c>
      <c r="R60" s="97"/>
      <c r="S60" s="4">
        <v>53</v>
      </c>
    </row>
    <row r="61" spans="1:19">
      <c r="A61" s="86" t="s">
        <v>70</v>
      </c>
      <c r="B61" s="98">
        <f>HLOOKUP($B$7,$F$8:$Q$74,S61,FALSE)</f>
        <v>511499.72</v>
      </c>
      <c r="F61" s="101">
        <f>F53</f>
        <v>1520.8200000000002</v>
      </c>
      <c r="G61" s="101">
        <f t="shared" ref="G61:Q61" si="27">G53</f>
        <v>41089.31</v>
      </c>
      <c r="H61" s="101">
        <f t="shared" si="27"/>
        <v>172049.97</v>
      </c>
      <c r="I61" s="101">
        <f t="shared" si="27"/>
        <v>511499.72</v>
      </c>
      <c r="J61" s="101">
        <f t="shared" si="27"/>
        <v>511499.72</v>
      </c>
      <c r="K61" s="101">
        <f t="shared" si="27"/>
        <v>511499.72</v>
      </c>
      <c r="L61" s="101">
        <f t="shared" si="27"/>
        <v>511499.72</v>
      </c>
      <c r="M61" s="101">
        <f t="shared" si="27"/>
        <v>511499.72</v>
      </c>
      <c r="N61" s="101">
        <f t="shared" si="27"/>
        <v>511499.72</v>
      </c>
      <c r="O61" s="101">
        <f t="shared" si="27"/>
        <v>511499.72</v>
      </c>
      <c r="P61" s="101">
        <f t="shared" si="27"/>
        <v>511499.72</v>
      </c>
      <c r="Q61" s="101">
        <f t="shared" si="27"/>
        <v>511499.72</v>
      </c>
      <c r="R61" s="97"/>
      <c r="S61" s="4">
        <v>54</v>
      </c>
    </row>
    <row r="62" spans="1:19">
      <c r="A62" s="91" t="s">
        <v>69</v>
      </c>
      <c r="B62" s="106">
        <f>HLOOKUP($B$7,$F$8:$Q$74,S62,FALSE)</f>
        <v>1545091.0280479486</v>
      </c>
      <c r="F62" s="35">
        <f>F61+F54</f>
        <v>1023242.4321283119</v>
      </c>
      <c r="G62" s="35">
        <f>G61+G54</f>
        <v>1507739.819243676</v>
      </c>
      <c r="H62" s="35">
        <f t="shared" ref="H62:Q62" si="28">H61+H54</f>
        <v>1191734.8455411978</v>
      </c>
      <c r="I62" s="35">
        <f t="shared" si="28"/>
        <v>1545091.0280479486</v>
      </c>
      <c r="J62" s="35">
        <f t="shared" si="28"/>
        <v>511499.72</v>
      </c>
      <c r="K62" s="35">
        <f t="shared" si="28"/>
        <v>511499.72</v>
      </c>
      <c r="L62" s="35">
        <f t="shared" si="28"/>
        <v>511499.72</v>
      </c>
      <c r="M62" s="35">
        <f t="shared" si="28"/>
        <v>511499.72</v>
      </c>
      <c r="N62" s="35">
        <f t="shared" si="28"/>
        <v>511499.72</v>
      </c>
      <c r="O62" s="35">
        <f t="shared" si="28"/>
        <v>511499.72</v>
      </c>
      <c r="P62" s="35">
        <f t="shared" si="28"/>
        <v>511499.72</v>
      </c>
      <c r="Q62" s="35">
        <f t="shared" si="28"/>
        <v>511499.72</v>
      </c>
      <c r="R62" s="97"/>
      <c r="S62" s="4">
        <v>55</v>
      </c>
    </row>
    <row r="63" spans="1:19">
      <c r="A63" s="86" t="s">
        <v>65</v>
      </c>
      <c r="B63" s="88">
        <f>HLOOKUP($B$7,$F$8:$Q$74,S63,FALSE)</f>
        <v>2.0992599601833986E-2</v>
      </c>
      <c r="F63" s="88">
        <f>F61/F60</f>
        <v>6.2416388666764402E-5</v>
      </c>
      <c r="G63" s="88">
        <f t="shared" ref="G63:Q63" si="29">G61/G60</f>
        <v>1.6863575853875994E-3</v>
      </c>
      <c r="H63" s="88">
        <f t="shared" si="29"/>
        <v>7.0611497729022206E-3</v>
      </c>
      <c r="I63" s="88">
        <f t="shared" si="29"/>
        <v>2.0992599601833986E-2</v>
      </c>
      <c r="J63" s="88">
        <f t="shared" si="29"/>
        <v>2.0992599601833986E-2</v>
      </c>
      <c r="K63" s="88">
        <f t="shared" si="29"/>
        <v>2.0992599601833986E-2</v>
      </c>
      <c r="L63" s="88">
        <f t="shared" si="29"/>
        <v>2.0992599601833986E-2</v>
      </c>
      <c r="M63" s="88">
        <f t="shared" si="29"/>
        <v>2.0992599601833986E-2</v>
      </c>
      <c r="N63" s="88">
        <f t="shared" si="29"/>
        <v>2.0992599601833986E-2</v>
      </c>
      <c r="O63" s="88">
        <f t="shared" si="29"/>
        <v>2.0992599601833986E-2</v>
      </c>
      <c r="P63" s="88">
        <f t="shared" si="29"/>
        <v>2.0992599601833986E-2</v>
      </c>
      <c r="Q63" s="88">
        <f t="shared" si="29"/>
        <v>2.0992599601833986E-2</v>
      </c>
      <c r="R63" s="97"/>
      <c r="S63" s="4">
        <v>56</v>
      </c>
    </row>
    <row r="64" spans="1:19">
      <c r="A64" s="86" t="s">
        <v>66</v>
      </c>
      <c r="B64" s="88">
        <f>HLOOKUP($B$7,$F$8:$Q$74,S64,FALSE)</f>
        <v>6.3412502552682978E-2</v>
      </c>
      <c r="F64" s="88">
        <f>F62/F60</f>
        <v>4.199517190992097E-2</v>
      </c>
      <c r="G64" s="88">
        <f t="shared" ref="G64:Q64" si="30">G62/G60</f>
        <v>6.1879561398633882E-2</v>
      </c>
      <c r="H64" s="88">
        <f t="shared" si="30"/>
        <v>4.8910315032039187E-2</v>
      </c>
      <c r="I64" s="88">
        <f t="shared" si="30"/>
        <v>6.3412502552682978E-2</v>
      </c>
      <c r="J64" s="88">
        <f t="shared" si="30"/>
        <v>2.0992599601833986E-2</v>
      </c>
      <c r="K64" s="88">
        <f t="shared" si="30"/>
        <v>2.0992599601833986E-2</v>
      </c>
      <c r="L64" s="88">
        <f t="shared" si="30"/>
        <v>2.0992599601833986E-2</v>
      </c>
      <c r="M64" s="88">
        <f t="shared" si="30"/>
        <v>2.0992599601833986E-2</v>
      </c>
      <c r="N64" s="88">
        <f t="shared" si="30"/>
        <v>2.0992599601833986E-2</v>
      </c>
      <c r="O64" s="88">
        <f t="shared" si="30"/>
        <v>2.0992599601833986E-2</v>
      </c>
      <c r="P64" s="88">
        <f t="shared" si="30"/>
        <v>2.0992599601833986E-2</v>
      </c>
      <c r="Q64" s="88">
        <f t="shared" si="30"/>
        <v>2.0992599601833986E-2</v>
      </c>
      <c r="R64" s="97"/>
      <c r="S64" s="4">
        <v>57</v>
      </c>
    </row>
    <row r="65" spans="1:20">
      <c r="A65" s="61" t="s">
        <v>17</v>
      </c>
      <c r="B65" s="5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5"/>
      <c r="S65" s="4">
        <v>58</v>
      </c>
    </row>
    <row r="66" spans="1:20">
      <c r="A66" s="18" t="s">
        <v>18</v>
      </c>
      <c r="B66" s="40">
        <f>HLOOKUP($B$7,$F$8:$Q$74,S66,FALSE)</f>
        <v>0</v>
      </c>
      <c r="E66" s="20" t="s">
        <v>36</v>
      </c>
      <c r="F66" s="58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20">
      <c r="A67" s="18" t="s">
        <v>19</v>
      </c>
      <c r="B67" s="40">
        <f>HLOOKUP($B$7,$F$8:$Q$74,S67,FALSE)</f>
        <v>0</v>
      </c>
      <c r="E67" s="20" t="s">
        <v>36</v>
      </c>
      <c r="F67" s="58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20">
      <c r="A68" s="18" t="s">
        <v>20</v>
      </c>
      <c r="B68" s="40">
        <f>HLOOKUP($B$7,$F$8:$Q$74,S68,FALSE)</f>
        <v>0</v>
      </c>
      <c r="E68" s="20" t="s">
        <v>36</v>
      </c>
      <c r="F68" s="58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20">
      <c r="A69" s="18" t="s">
        <v>21</v>
      </c>
      <c r="B69" s="40">
        <f>HLOOKUP($B$7,$F$8:$Q$74,S69,FALSE)</f>
        <v>0.9</v>
      </c>
      <c r="E69" s="20" t="s">
        <v>37</v>
      </c>
      <c r="F69" s="58">
        <v>0.9</v>
      </c>
      <c r="G69" s="159">
        <v>0.9</v>
      </c>
      <c r="H69" s="30">
        <v>0.9</v>
      </c>
      <c r="I69" s="30">
        <v>0.9</v>
      </c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20">
      <c r="A70" s="61" t="s">
        <v>8</v>
      </c>
      <c r="B70" s="5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5"/>
      <c r="S70" s="4">
        <v>63</v>
      </c>
    </row>
    <row r="71" spans="1:20">
      <c r="A71" s="18" t="s">
        <v>1</v>
      </c>
      <c r="B71" s="19">
        <f>HLOOKUP($B$7,$F$8:$Q$74,S71,FALSE)</f>
        <v>153</v>
      </c>
      <c r="E71" s="20" t="s">
        <v>30</v>
      </c>
      <c r="F71" s="7">
        <v>43</v>
      </c>
      <c r="G71" s="7">
        <v>82</v>
      </c>
      <c r="H71" s="7">
        <v>124</v>
      </c>
      <c r="I71" s="7">
        <v>153</v>
      </c>
      <c r="J71" s="7"/>
      <c r="K71" s="7"/>
      <c r="L71" s="7"/>
      <c r="M71" s="7"/>
      <c r="N71" s="7"/>
      <c r="O71" s="7"/>
      <c r="P71" s="7"/>
      <c r="Q71" s="7"/>
      <c r="R71" s="25"/>
      <c r="S71" s="4">
        <v>64</v>
      </c>
    </row>
    <row r="72" spans="1:20">
      <c r="A72" s="18" t="s">
        <v>119</v>
      </c>
      <c r="B72" s="19">
        <f>HLOOKUP($B$7,$F$8:$Q$74,S72,FALSE)</f>
        <v>145</v>
      </c>
      <c r="E72" s="20" t="s">
        <v>30</v>
      </c>
      <c r="F72" s="7">
        <v>39</v>
      </c>
      <c r="G72" s="7">
        <v>71</v>
      </c>
      <c r="H72" s="7">
        <v>108</v>
      </c>
      <c r="I72" s="7">
        <v>145</v>
      </c>
      <c r="J72" s="7"/>
      <c r="K72" s="7"/>
      <c r="L72" s="7"/>
      <c r="M72" s="7"/>
      <c r="N72" s="7"/>
      <c r="O72" s="7"/>
      <c r="P72" s="7"/>
      <c r="Q72" s="7"/>
      <c r="R72" s="25"/>
      <c r="S72" s="4">
        <v>65</v>
      </c>
    </row>
    <row r="73" spans="1:20" s="4" customFormat="1">
      <c r="A73" s="61" t="s">
        <v>32</v>
      </c>
      <c r="B73" s="59"/>
      <c r="C73" s="41"/>
      <c r="E73" s="4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5"/>
      <c r="S73" s="4">
        <v>66</v>
      </c>
    </row>
    <row r="74" spans="1:20" s="4" customFormat="1">
      <c r="A74" s="18" t="s">
        <v>33</v>
      </c>
      <c r="B74" s="19">
        <f>HLOOKUP($B$7,$F$8:$Q$74,S74,FALSE)</f>
        <v>13696.5</v>
      </c>
      <c r="C74" s="41"/>
      <c r="E74" s="20" t="s">
        <v>34</v>
      </c>
      <c r="F74" s="42">
        <v>13696.5</v>
      </c>
      <c r="G74" s="42">
        <v>13696.5</v>
      </c>
      <c r="H74" s="43">
        <v>13696.5</v>
      </c>
      <c r="I74" s="42">
        <f>H74</f>
        <v>13696.5</v>
      </c>
      <c r="J74" s="42"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5"/>
      <c r="S74" s="4">
        <v>67</v>
      </c>
    </row>
    <row r="75" spans="1:20" s="164" customFormat="1">
      <c r="A75" s="18" t="s">
        <v>146</v>
      </c>
      <c r="B75" s="19">
        <f>HLOOKUP($B$7,$F$8:$Q$75,S75,FALSE)</f>
        <v>0</v>
      </c>
      <c r="C75" s="41"/>
      <c r="D75" s="4"/>
      <c r="E75" s="20" t="s">
        <v>34</v>
      </c>
      <c r="F75" s="42">
        <v>0</v>
      </c>
      <c r="G75" s="42">
        <v>0</v>
      </c>
      <c r="H75" s="43">
        <f t="shared" ref="H75:J75" si="31">G75</f>
        <v>0</v>
      </c>
      <c r="I75" s="42">
        <f t="shared" si="31"/>
        <v>0</v>
      </c>
      <c r="J75" s="42">
        <f t="shared" si="31"/>
        <v>0</v>
      </c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5"/>
      <c r="S75" s="4">
        <v>68</v>
      </c>
      <c r="T75" s="4"/>
    </row>
    <row r="76" spans="1:20" s="4" customFormat="1" ht="9" customHeight="1">
      <c r="A76" s="12"/>
      <c r="B76" s="12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20" s="4" customFormat="1" ht="9" customHeight="1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68"/>
    </row>
    <row r="78" spans="1:20" s="4" customFormat="1">
      <c r="A78" s="72" t="s">
        <v>43</v>
      </c>
      <c r="B78" s="69"/>
      <c r="C78" s="41"/>
      <c r="R78" s="68"/>
    </row>
    <row r="79" spans="1:20" s="4" customFormat="1">
      <c r="A79" s="61" t="s">
        <v>31</v>
      </c>
      <c r="B79" s="12"/>
      <c r="C79" s="41"/>
      <c r="R79" s="68"/>
    </row>
    <row r="80" spans="1:20" s="4" customFormat="1">
      <c r="A80" s="84">
        <f>VLOOKUP(B7,E89:T100,2,FALSE)</f>
        <v>0</v>
      </c>
      <c r="B80" s="70"/>
      <c r="C80" s="41"/>
      <c r="R80" s="68"/>
    </row>
    <row r="81" spans="1:20" s="4" customFormat="1">
      <c r="A81" s="61" t="s">
        <v>40</v>
      </c>
      <c r="B81" s="12"/>
      <c r="C81" s="41"/>
      <c r="R81" s="68"/>
    </row>
    <row r="82" spans="1:20" s="4" customFormat="1">
      <c r="A82" s="84">
        <f>VLOOKUP(B7,E89:T100,6,FALSE)</f>
        <v>0</v>
      </c>
      <c r="B82" s="71"/>
      <c r="C82" s="41"/>
      <c r="R82" s="68"/>
    </row>
    <row r="83" spans="1:20" s="4" customFormat="1">
      <c r="A83" s="61" t="s">
        <v>44</v>
      </c>
      <c r="B83" s="12"/>
      <c r="C83" s="41"/>
      <c r="R83" s="68"/>
    </row>
    <row r="84" spans="1:20" s="4" customFormat="1" ht="15" customHeight="1">
      <c r="A84" s="84">
        <f>VLOOKUP(B7,E89:T100,10,FALSE)</f>
        <v>0</v>
      </c>
      <c r="B84" s="73"/>
      <c r="C84" s="41"/>
      <c r="R84" s="68"/>
    </row>
    <row r="85" spans="1:20">
      <c r="A85" s="61" t="s">
        <v>61</v>
      </c>
    </row>
    <row r="86" spans="1:20">
      <c r="A86" s="84">
        <f>VLOOKUP(B7,E89:T100,14,FALSE)</f>
        <v>0</v>
      </c>
      <c r="D86" s="172" t="s">
        <v>42</v>
      </c>
      <c r="E86" s="172"/>
      <c r="F86" s="172"/>
      <c r="G86" s="172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9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1:20">
      <c r="A88" s="70"/>
      <c r="D88" s="41"/>
      <c r="E88" s="3"/>
      <c r="F88" s="173" t="s">
        <v>31</v>
      </c>
      <c r="G88" s="173"/>
      <c r="H88" s="173"/>
      <c r="I88" s="173"/>
      <c r="J88" s="173" t="s">
        <v>40</v>
      </c>
      <c r="K88" s="173"/>
      <c r="L88" s="173"/>
      <c r="M88" s="173"/>
      <c r="N88" s="173" t="s">
        <v>41</v>
      </c>
      <c r="O88" s="173"/>
      <c r="P88" s="173"/>
      <c r="Q88" s="173"/>
      <c r="R88" s="173" t="s">
        <v>61</v>
      </c>
      <c r="S88" s="173"/>
      <c r="T88" s="173"/>
    </row>
    <row r="89" spans="1:20">
      <c r="D89" s="41"/>
      <c r="E89" s="14">
        <v>40909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1"/>
      <c r="S89" s="171"/>
      <c r="T89" s="171"/>
    </row>
    <row r="90" spans="1:20">
      <c r="D90" s="41"/>
      <c r="E90" s="14">
        <v>40940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/>
      <c r="S90" s="171"/>
      <c r="T90" s="171"/>
    </row>
    <row r="91" spans="1:20">
      <c r="D91" s="41"/>
      <c r="E91" s="14">
        <v>40969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1" t="s">
        <v>145</v>
      </c>
      <c r="S91" s="171"/>
      <c r="T91" s="171"/>
    </row>
    <row r="92" spans="1:20">
      <c r="D92" s="41"/>
      <c r="E92" s="14">
        <v>41000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41030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41061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41091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1"/>
      <c r="E96" s="14">
        <v>41122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>
      <c r="D97" s="44"/>
      <c r="E97" s="14">
        <v>41153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>
      <c r="D98" s="44"/>
      <c r="E98" s="14">
        <v>41183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>
      <c r="D99" s="44"/>
      <c r="E99" s="14">
        <v>41214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  <row r="100" spans="4:20">
      <c r="D100" s="44"/>
      <c r="E100" s="14">
        <v>41244</v>
      </c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1"/>
      <c r="S100" s="171"/>
      <c r="T100" s="171"/>
    </row>
  </sheetData>
  <mergeCells count="54">
    <mergeCell ref="F99:I99"/>
    <mergeCell ref="J99:M99"/>
    <mergeCell ref="N99:Q99"/>
    <mergeCell ref="R99:T99"/>
    <mergeCell ref="F100:I100"/>
    <mergeCell ref="J100:M100"/>
    <mergeCell ref="N100:Q100"/>
    <mergeCell ref="R100:T100"/>
    <mergeCell ref="F97:I97"/>
    <mergeCell ref="J97:M97"/>
    <mergeCell ref="N97:Q97"/>
    <mergeCell ref="R97:T97"/>
    <mergeCell ref="F98:I98"/>
    <mergeCell ref="J98:M98"/>
    <mergeCell ref="N98:Q98"/>
    <mergeCell ref="R98:T98"/>
    <mergeCell ref="F95:I95"/>
    <mergeCell ref="J95:M95"/>
    <mergeCell ref="N95:Q95"/>
    <mergeCell ref="R95:T95"/>
    <mergeCell ref="F96:I96"/>
    <mergeCell ref="J96:M96"/>
    <mergeCell ref="N96:Q96"/>
    <mergeCell ref="R96:T96"/>
    <mergeCell ref="F93:I93"/>
    <mergeCell ref="J93:M93"/>
    <mergeCell ref="N93:Q93"/>
    <mergeCell ref="R93:T93"/>
    <mergeCell ref="F94:I94"/>
    <mergeCell ref="J94:M94"/>
    <mergeCell ref="N94:Q94"/>
    <mergeCell ref="R94:T94"/>
    <mergeCell ref="F91:I91"/>
    <mergeCell ref="J91:M91"/>
    <mergeCell ref="N91:Q91"/>
    <mergeCell ref="R91:T91"/>
    <mergeCell ref="F92:I92"/>
    <mergeCell ref="J92:M92"/>
    <mergeCell ref="N92:Q92"/>
    <mergeCell ref="R92:T92"/>
    <mergeCell ref="F89:I89"/>
    <mergeCell ref="J89:M89"/>
    <mergeCell ref="N89:Q89"/>
    <mergeCell ref="R89:T89"/>
    <mergeCell ref="F90:I90"/>
    <mergeCell ref="J90:M90"/>
    <mergeCell ref="N90:Q90"/>
    <mergeCell ref="R90:T90"/>
    <mergeCell ref="R88:T88"/>
    <mergeCell ref="D1:F1"/>
    <mergeCell ref="D86:G86"/>
    <mergeCell ref="F88:I88"/>
    <mergeCell ref="J88:M88"/>
    <mergeCell ref="N88:Q88"/>
  </mergeCells>
  <dataValidations count="1">
    <dataValidation type="list" showInputMessage="1" showErrorMessage="1" sqref="B7">
      <formula1>$F$8:$Q$8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99"/>
  <sheetViews>
    <sheetView showGridLines="0" topLeftCell="A39" zoomScaleNormal="100" workbookViewId="0">
      <pane xSplit="1" topLeftCell="B1" activePane="topRight" state="frozen"/>
      <selection activeCell="E8" sqref="E8"/>
      <selection pane="topRight" activeCell="I72" sqref="I72"/>
    </sheetView>
  </sheetViews>
  <sheetFormatPr defaultRowHeight="15"/>
  <cols>
    <col min="1" max="1" width="59.28515625" style="3" customWidth="1"/>
    <col min="2" max="2" width="37.7109375" style="3" customWidth="1"/>
    <col min="3" max="3" width="6.5703125" style="4" customWidth="1"/>
    <col min="4" max="4" width="4.7109375" style="4" customWidth="1"/>
    <col min="5" max="5" width="24.28515625" style="4" customWidth="1"/>
    <col min="6" max="17" width="15.7109375" style="3" customWidth="1"/>
    <col min="18" max="18" width="15.7109375" style="63" customWidth="1"/>
    <col min="19" max="19" width="6.42578125" style="3" customWidth="1"/>
    <col min="20" max="20" width="15.7109375" style="3" customWidth="1"/>
    <col min="21" max="16384" width="9.140625" style="3"/>
  </cols>
  <sheetData>
    <row r="1" spans="1:19">
      <c r="A1" s="1" t="s">
        <v>3</v>
      </c>
      <c r="B1" s="108" t="s">
        <v>136</v>
      </c>
      <c r="C1" s="2"/>
      <c r="D1" s="172" t="s">
        <v>27</v>
      </c>
      <c r="E1" s="172"/>
      <c r="F1" s="172"/>
    </row>
    <row r="2" spans="1:19">
      <c r="A2" s="1" t="s">
        <v>4</v>
      </c>
      <c r="B2" s="108" t="s">
        <v>121</v>
      </c>
      <c r="C2" s="2"/>
      <c r="E2" s="5"/>
      <c r="F2" s="100">
        <v>2012</v>
      </c>
      <c r="G2" s="100">
        <v>2013</v>
      </c>
      <c r="H2" s="100">
        <v>2014</v>
      </c>
      <c r="I2" s="100">
        <v>2015</v>
      </c>
    </row>
    <row r="3" spans="1:19">
      <c r="A3" s="1" t="s">
        <v>5</v>
      </c>
      <c r="B3" s="115" t="s">
        <v>122</v>
      </c>
      <c r="C3" s="6"/>
      <c r="E3" s="111" t="s">
        <v>73</v>
      </c>
      <c r="F3" s="109">
        <v>55381</v>
      </c>
      <c r="G3" s="109">
        <v>55381</v>
      </c>
      <c r="H3" s="109">
        <v>55381</v>
      </c>
      <c r="I3" s="109">
        <v>55381</v>
      </c>
    </row>
    <row r="4" spans="1:19">
      <c r="A4" s="1" t="s">
        <v>9</v>
      </c>
      <c r="B4" s="113">
        <v>40841</v>
      </c>
      <c r="C4" s="8"/>
      <c r="E4" s="111" t="s">
        <v>74</v>
      </c>
      <c r="F4" s="110">
        <v>3197500</v>
      </c>
      <c r="G4" s="110">
        <v>3197500</v>
      </c>
      <c r="H4" s="110">
        <v>3197500</v>
      </c>
      <c r="I4" s="110">
        <v>3197500</v>
      </c>
      <c r="J4" s="10"/>
      <c r="K4" s="10"/>
      <c r="L4" s="10"/>
      <c r="M4" s="10"/>
      <c r="N4" s="10"/>
      <c r="O4" s="10"/>
      <c r="P4" s="10"/>
      <c r="Q4" s="10"/>
      <c r="R4" s="116"/>
    </row>
    <row r="5" spans="1:19">
      <c r="A5" s="46" t="s">
        <v>10</v>
      </c>
      <c r="B5" s="114">
        <v>40169</v>
      </c>
      <c r="C5" s="8"/>
      <c r="E5" s="111" t="s">
        <v>93</v>
      </c>
      <c r="F5" s="1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6"/>
    </row>
    <row r="6" spans="1:19">
      <c r="A6" s="1" t="s">
        <v>115</v>
      </c>
      <c r="B6" s="113" t="s">
        <v>116</v>
      </c>
      <c r="C6" s="8"/>
      <c r="E6" s="5" t="s">
        <v>117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6"/>
    </row>
    <row r="7" spans="1:19">
      <c r="A7" s="1" t="s">
        <v>2</v>
      </c>
      <c r="B7" s="60">
        <v>41000</v>
      </c>
      <c r="C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6"/>
      <c r="S7" s="45" t="s">
        <v>39</v>
      </c>
    </row>
    <row r="8" spans="1:19" ht="15" customHeight="1">
      <c r="F8" s="14">
        <v>40909</v>
      </c>
      <c r="G8" s="14">
        <v>40940</v>
      </c>
      <c r="H8" s="14">
        <v>40969</v>
      </c>
      <c r="I8" s="14">
        <v>41000</v>
      </c>
      <c r="J8" s="14">
        <v>41030</v>
      </c>
      <c r="K8" s="14">
        <v>41061</v>
      </c>
      <c r="L8" s="14">
        <v>41091</v>
      </c>
      <c r="M8" s="14">
        <v>41122</v>
      </c>
      <c r="N8" s="14">
        <v>41153</v>
      </c>
      <c r="O8" s="14">
        <v>41183</v>
      </c>
      <c r="P8" s="14">
        <v>41214</v>
      </c>
      <c r="Q8" s="14">
        <v>41244</v>
      </c>
      <c r="R8" s="15" t="s">
        <v>0</v>
      </c>
      <c r="S8" s="4">
        <v>1</v>
      </c>
    </row>
    <row r="9" spans="1:19" ht="15" customHeight="1">
      <c r="A9" s="12"/>
      <c r="B9" s="12"/>
      <c r="E9" s="16" t="s">
        <v>35</v>
      </c>
      <c r="F9" s="105">
        <v>1</v>
      </c>
      <c r="G9" s="105">
        <v>2</v>
      </c>
      <c r="H9" s="105">
        <v>3</v>
      </c>
      <c r="I9" s="105">
        <v>4</v>
      </c>
      <c r="J9" s="105">
        <v>5</v>
      </c>
      <c r="K9" s="105">
        <v>6</v>
      </c>
      <c r="L9" s="105">
        <v>7</v>
      </c>
      <c r="M9" s="105">
        <v>8</v>
      </c>
      <c r="N9" s="105">
        <v>9</v>
      </c>
      <c r="O9" s="105">
        <v>10</v>
      </c>
      <c r="P9" s="105">
        <v>11</v>
      </c>
      <c r="Q9" s="105">
        <v>12</v>
      </c>
      <c r="R9" s="64"/>
      <c r="S9" s="4">
        <v>2</v>
      </c>
    </row>
    <row r="10" spans="1:19">
      <c r="A10" s="61" t="s">
        <v>108</v>
      </c>
      <c r="B10" s="59"/>
      <c r="E10" s="13" t="s">
        <v>29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5"/>
      <c r="S10" s="4">
        <v>3</v>
      </c>
    </row>
    <row r="11" spans="1:19">
      <c r="A11" s="18" t="s">
        <v>12</v>
      </c>
      <c r="B11" s="19">
        <f>HLOOKUP($B$7,$F$8:$Q$74,S11,FALSE)</f>
        <v>0</v>
      </c>
      <c r="E11" s="20" t="s">
        <v>28</v>
      </c>
      <c r="F11" s="7">
        <v>0</v>
      </c>
      <c r="G11" s="7">
        <v>0</v>
      </c>
      <c r="H11" s="7">
        <v>2.2999999999999998</v>
      </c>
      <c r="I11" s="7">
        <v>0</v>
      </c>
      <c r="J11" s="7"/>
      <c r="K11" s="7"/>
      <c r="L11" s="7"/>
      <c r="M11" s="7"/>
      <c r="N11" s="7"/>
      <c r="O11" s="7"/>
      <c r="P11" s="7"/>
      <c r="Q11" s="7"/>
      <c r="R11" s="24">
        <f>SUM(F11:Q11)</f>
        <v>2.2999999999999998</v>
      </c>
      <c r="S11" s="4">
        <v>4</v>
      </c>
    </row>
    <row r="12" spans="1:19">
      <c r="A12" s="18" t="s">
        <v>13</v>
      </c>
      <c r="B12" s="75">
        <f>HLOOKUP($B$7,$F$8:$Q$74,S12,FALSE)</f>
        <v>0</v>
      </c>
      <c r="E12" s="20" t="s">
        <v>28</v>
      </c>
      <c r="F12" s="81">
        <v>0</v>
      </c>
      <c r="G12" s="81">
        <v>0</v>
      </c>
      <c r="H12" s="81">
        <v>0</v>
      </c>
      <c r="I12" s="81">
        <v>0</v>
      </c>
      <c r="J12" s="81"/>
      <c r="K12" s="81"/>
      <c r="L12" s="81"/>
      <c r="M12" s="81"/>
      <c r="N12" s="81"/>
      <c r="O12" s="81"/>
      <c r="P12" s="81"/>
      <c r="Q12" s="81"/>
      <c r="R12" s="80">
        <f t="shared" ref="R12:R13" si="0">SUM(F12:Q12)</f>
        <v>0</v>
      </c>
      <c r="S12" s="4">
        <v>5</v>
      </c>
    </row>
    <row r="13" spans="1:19">
      <c r="A13" s="18" t="s">
        <v>123</v>
      </c>
      <c r="B13" s="19">
        <f>HLOOKUP($B$7,$F$8:$Q$74,S13,FALSE)</f>
        <v>0</v>
      </c>
      <c r="E13" s="20" t="s">
        <v>28</v>
      </c>
      <c r="F13" s="7">
        <v>0</v>
      </c>
      <c r="G13" s="7">
        <v>0</v>
      </c>
      <c r="H13" s="7">
        <v>0</v>
      </c>
      <c r="I13" s="7">
        <v>0</v>
      </c>
      <c r="J13" s="7"/>
      <c r="K13" s="7"/>
      <c r="L13" s="7"/>
      <c r="M13" s="7"/>
      <c r="N13" s="7"/>
      <c r="O13" s="7"/>
      <c r="P13" s="7"/>
      <c r="Q13" s="7"/>
      <c r="R13" s="24">
        <f t="shared" si="0"/>
        <v>0</v>
      </c>
      <c r="S13" s="4">
        <v>6</v>
      </c>
    </row>
    <row r="14" spans="1:19">
      <c r="A14" s="61" t="s">
        <v>75</v>
      </c>
      <c r="B14" s="59"/>
      <c r="E14" s="5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5"/>
      <c r="S14" s="4">
        <v>7</v>
      </c>
    </row>
    <row r="15" spans="1:19">
      <c r="A15" s="1" t="s">
        <v>80</v>
      </c>
      <c r="B15" s="23">
        <f t="shared" ref="B15:B22" si="1">HLOOKUP($B$7,$F$8:$Q$74,S15,FALSE)</f>
        <v>55381</v>
      </c>
      <c r="E15" s="5"/>
      <c r="F15" s="24">
        <f>$F$3</f>
        <v>55381</v>
      </c>
      <c r="G15" s="24">
        <f t="shared" ref="G15:Q15" si="2">$F$3</f>
        <v>55381</v>
      </c>
      <c r="H15" s="24">
        <f t="shared" si="2"/>
        <v>55381</v>
      </c>
      <c r="I15" s="24">
        <f t="shared" si="2"/>
        <v>55381</v>
      </c>
      <c r="J15" s="24">
        <f t="shared" si="2"/>
        <v>55381</v>
      </c>
      <c r="K15" s="24">
        <f t="shared" si="2"/>
        <v>55381</v>
      </c>
      <c r="L15" s="24">
        <f t="shared" si="2"/>
        <v>55381</v>
      </c>
      <c r="M15" s="24">
        <f t="shared" si="2"/>
        <v>55381</v>
      </c>
      <c r="N15" s="24">
        <f t="shared" si="2"/>
        <v>55381</v>
      </c>
      <c r="O15" s="24">
        <f t="shared" si="2"/>
        <v>55381</v>
      </c>
      <c r="P15" s="24">
        <f t="shared" si="2"/>
        <v>55381</v>
      </c>
      <c r="Q15" s="24">
        <f t="shared" si="2"/>
        <v>55381</v>
      </c>
      <c r="R15" s="25"/>
      <c r="S15" s="4">
        <v>8</v>
      </c>
    </row>
    <row r="16" spans="1:19">
      <c r="A16" s="1" t="s">
        <v>81</v>
      </c>
      <c r="B16" s="23">
        <f t="shared" si="1"/>
        <v>18460.333333333332</v>
      </c>
      <c r="E16" s="5"/>
      <c r="F16" s="24">
        <f>F15*(F9/12)</f>
        <v>4615.083333333333</v>
      </c>
      <c r="G16" s="24">
        <f t="shared" ref="G16:Q16" si="3">G15*(G9/12)</f>
        <v>9230.1666666666661</v>
      </c>
      <c r="H16" s="24">
        <f t="shared" si="3"/>
        <v>13845.25</v>
      </c>
      <c r="I16" s="24">
        <f t="shared" si="3"/>
        <v>18460.333333333332</v>
      </c>
      <c r="J16" s="24">
        <f t="shared" si="3"/>
        <v>23075.416666666668</v>
      </c>
      <c r="K16" s="24">
        <f t="shared" si="3"/>
        <v>27690.5</v>
      </c>
      <c r="L16" s="24">
        <f t="shared" si="3"/>
        <v>32305.583333333336</v>
      </c>
      <c r="M16" s="24">
        <f t="shared" si="3"/>
        <v>36920.666666666664</v>
      </c>
      <c r="N16" s="24">
        <f t="shared" si="3"/>
        <v>41535.75</v>
      </c>
      <c r="O16" s="24">
        <f>O15*(O9/12)</f>
        <v>46150.833333333336</v>
      </c>
      <c r="P16" s="24">
        <f t="shared" si="3"/>
        <v>50765.916666666664</v>
      </c>
      <c r="Q16" s="24">
        <f t="shared" si="3"/>
        <v>55381</v>
      </c>
      <c r="R16" s="25"/>
      <c r="S16" s="4">
        <v>9</v>
      </c>
    </row>
    <row r="17" spans="1:19">
      <c r="A17" s="86" t="s">
        <v>79</v>
      </c>
      <c r="B17" s="19">
        <f t="shared" si="1"/>
        <v>2.2999999999999998</v>
      </c>
      <c r="E17" s="5"/>
      <c r="F17" s="21">
        <f>F11</f>
        <v>0</v>
      </c>
      <c r="G17" s="21">
        <f>F17+G11</f>
        <v>0</v>
      </c>
      <c r="H17" s="21">
        <f t="shared" ref="H17:Q17" si="4">G17+H11</f>
        <v>2.2999999999999998</v>
      </c>
      <c r="I17" s="21">
        <f t="shared" si="4"/>
        <v>2.2999999999999998</v>
      </c>
      <c r="J17" s="21">
        <f t="shared" si="4"/>
        <v>2.2999999999999998</v>
      </c>
      <c r="K17" s="21">
        <f t="shared" si="4"/>
        <v>2.2999999999999998</v>
      </c>
      <c r="L17" s="21">
        <f t="shared" si="4"/>
        <v>2.2999999999999998</v>
      </c>
      <c r="M17" s="21">
        <f t="shared" si="4"/>
        <v>2.2999999999999998</v>
      </c>
      <c r="N17" s="21">
        <f t="shared" si="4"/>
        <v>2.2999999999999998</v>
      </c>
      <c r="O17" s="21">
        <f t="shared" si="4"/>
        <v>2.2999999999999998</v>
      </c>
      <c r="P17" s="21">
        <f t="shared" si="4"/>
        <v>2.2999999999999998</v>
      </c>
      <c r="Q17" s="21">
        <f t="shared" si="4"/>
        <v>2.2999999999999998</v>
      </c>
      <c r="R17" s="65"/>
      <c r="S17" s="4">
        <v>10</v>
      </c>
    </row>
    <row r="18" spans="1:19">
      <c r="A18" s="86" t="s">
        <v>11</v>
      </c>
      <c r="B18" s="19">
        <f t="shared" si="1"/>
        <v>18428.900000000001</v>
      </c>
      <c r="E18" s="20" t="s">
        <v>30</v>
      </c>
      <c r="F18" s="7">
        <v>14354.8</v>
      </c>
      <c r="G18" s="7">
        <v>248.3</v>
      </c>
      <c r="H18" s="7">
        <v>13.1</v>
      </c>
      <c r="I18" s="7">
        <v>18428.900000000001</v>
      </c>
      <c r="J18" s="7"/>
      <c r="K18" s="7"/>
      <c r="L18" s="7"/>
      <c r="M18" s="7"/>
      <c r="N18" s="7"/>
      <c r="O18" s="7"/>
      <c r="P18" s="7"/>
      <c r="Q18" s="7"/>
      <c r="R18" s="65"/>
      <c r="S18" s="4">
        <v>11</v>
      </c>
    </row>
    <row r="19" spans="1:19">
      <c r="A19" s="87" t="s">
        <v>45</v>
      </c>
      <c r="B19" s="51">
        <f t="shared" si="1"/>
        <v>18431.2</v>
      </c>
      <c r="C19" s="92"/>
      <c r="D19" s="92"/>
      <c r="E19" s="92"/>
      <c r="F19" s="26">
        <f>F17+F18</f>
        <v>14354.8</v>
      </c>
      <c r="G19" s="26">
        <f t="shared" ref="G19:Q19" si="5">G17+G18</f>
        <v>248.3</v>
      </c>
      <c r="H19" s="26">
        <f t="shared" si="5"/>
        <v>15.399999999999999</v>
      </c>
      <c r="I19" s="26">
        <f t="shared" si="5"/>
        <v>18431.2</v>
      </c>
      <c r="J19" s="26">
        <f t="shared" si="5"/>
        <v>2.2999999999999998</v>
      </c>
      <c r="K19" s="26">
        <f t="shared" si="5"/>
        <v>2.2999999999999998</v>
      </c>
      <c r="L19" s="26">
        <f t="shared" si="5"/>
        <v>2.2999999999999998</v>
      </c>
      <c r="M19" s="26">
        <f t="shared" si="5"/>
        <v>2.2999999999999998</v>
      </c>
      <c r="N19" s="26">
        <f t="shared" si="5"/>
        <v>2.2999999999999998</v>
      </c>
      <c r="O19" s="26">
        <f t="shared" si="5"/>
        <v>2.2999999999999998</v>
      </c>
      <c r="P19" s="26">
        <f t="shared" si="5"/>
        <v>2.2999999999999998</v>
      </c>
      <c r="Q19" s="26">
        <f t="shared" si="5"/>
        <v>2.2999999999999998</v>
      </c>
      <c r="R19" s="25"/>
      <c r="S19" s="4">
        <v>12</v>
      </c>
    </row>
    <row r="20" spans="1:19">
      <c r="A20" s="86" t="s">
        <v>7</v>
      </c>
      <c r="B20" s="88">
        <f t="shared" si="1"/>
        <v>4.1530488795796391E-5</v>
      </c>
      <c r="F20" s="88">
        <f>F17/F15</f>
        <v>0</v>
      </c>
      <c r="G20" s="88">
        <f t="shared" ref="G20:Q20" si="6">G17/G15</f>
        <v>0</v>
      </c>
      <c r="H20" s="88">
        <f t="shared" si="6"/>
        <v>4.1530488795796391E-5</v>
      </c>
      <c r="I20" s="88">
        <f t="shared" si="6"/>
        <v>4.1530488795796391E-5</v>
      </c>
      <c r="J20" s="88">
        <f t="shared" si="6"/>
        <v>4.1530488795796391E-5</v>
      </c>
      <c r="K20" s="88">
        <f t="shared" si="6"/>
        <v>4.1530488795796391E-5</v>
      </c>
      <c r="L20" s="88">
        <f t="shared" si="6"/>
        <v>4.1530488795796391E-5</v>
      </c>
      <c r="M20" s="88">
        <f t="shared" si="6"/>
        <v>4.1530488795796391E-5</v>
      </c>
      <c r="N20" s="88">
        <f t="shared" si="6"/>
        <v>4.1530488795796391E-5</v>
      </c>
      <c r="O20" s="88">
        <f t="shared" si="6"/>
        <v>4.1530488795796391E-5</v>
      </c>
      <c r="P20" s="88">
        <f t="shared" si="6"/>
        <v>4.1530488795796391E-5</v>
      </c>
      <c r="Q20" s="88">
        <f t="shared" si="6"/>
        <v>4.1530488795796391E-5</v>
      </c>
      <c r="R20" s="97"/>
      <c r="S20" s="4">
        <v>13</v>
      </c>
    </row>
    <row r="21" spans="1:19">
      <c r="A21" s="86" t="s">
        <v>49</v>
      </c>
      <c r="B21" s="88">
        <f t="shared" si="1"/>
        <v>0.33280728047525326</v>
      </c>
      <c r="F21" s="88">
        <f>F19/F15</f>
        <v>0.25920080894169478</v>
      </c>
      <c r="G21" s="88">
        <f t="shared" ref="G21:Q21" si="7">G19/G15</f>
        <v>4.4834871165201065E-3</v>
      </c>
      <c r="H21" s="88">
        <f t="shared" si="7"/>
        <v>2.7807370758924538E-4</v>
      </c>
      <c r="I21" s="88">
        <f t="shared" si="7"/>
        <v>0.33280728047525326</v>
      </c>
      <c r="J21" s="88">
        <f t="shared" si="7"/>
        <v>4.1530488795796391E-5</v>
      </c>
      <c r="K21" s="88">
        <f t="shared" si="7"/>
        <v>4.1530488795796391E-5</v>
      </c>
      <c r="L21" s="88">
        <f t="shared" si="7"/>
        <v>4.1530488795796391E-5</v>
      </c>
      <c r="M21" s="88">
        <f t="shared" si="7"/>
        <v>4.1530488795796391E-5</v>
      </c>
      <c r="N21" s="88">
        <f t="shared" si="7"/>
        <v>4.1530488795796391E-5</v>
      </c>
      <c r="O21" s="88">
        <f t="shared" si="7"/>
        <v>4.1530488795796391E-5</v>
      </c>
      <c r="P21" s="88">
        <f t="shared" si="7"/>
        <v>4.1530488795796391E-5</v>
      </c>
      <c r="Q21" s="88">
        <f t="shared" si="7"/>
        <v>4.1530488795796391E-5</v>
      </c>
      <c r="R21" s="97"/>
      <c r="S21" s="4">
        <v>14</v>
      </c>
    </row>
    <row r="22" spans="1:19">
      <c r="A22" s="86" t="s">
        <v>6</v>
      </c>
      <c r="B22" s="88">
        <f t="shared" si="1"/>
        <v>1.2459146638738917E-4</v>
      </c>
      <c r="F22" s="88">
        <f>F17/F16</f>
        <v>0</v>
      </c>
      <c r="G22" s="88">
        <f t="shared" ref="G22:Q22" si="8">G17/G16</f>
        <v>0</v>
      </c>
      <c r="H22" s="88">
        <f t="shared" si="8"/>
        <v>1.6612195518318556E-4</v>
      </c>
      <c r="I22" s="88">
        <f t="shared" si="8"/>
        <v>1.2459146638738917E-4</v>
      </c>
      <c r="J22" s="88">
        <f t="shared" si="8"/>
        <v>9.9673173109911326E-5</v>
      </c>
      <c r="K22" s="88">
        <f t="shared" si="8"/>
        <v>8.3060977591592781E-5</v>
      </c>
      <c r="L22" s="88">
        <f t="shared" si="8"/>
        <v>7.1195123649936656E-5</v>
      </c>
      <c r="M22" s="88">
        <f t="shared" si="8"/>
        <v>6.2295733193694586E-5</v>
      </c>
      <c r="N22" s="88">
        <f t="shared" si="8"/>
        <v>5.5373985061061854E-5</v>
      </c>
      <c r="O22" s="88">
        <f t="shared" si="8"/>
        <v>4.9836586554955663E-5</v>
      </c>
      <c r="P22" s="88">
        <f t="shared" si="8"/>
        <v>4.5305987777232425E-5</v>
      </c>
      <c r="Q22" s="88">
        <f t="shared" si="8"/>
        <v>4.1530488795796391E-5</v>
      </c>
      <c r="R22" s="97"/>
      <c r="S22" s="4">
        <v>15</v>
      </c>
    </row>
    <row r="23" spans="1:19">
      <c r="A23" s="61" t="s">
        <v>76</v>
      </c>
      <c r="B23" s="4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25"/>
      <c r="S23" s="4">
        <v>16</v>
      </c>
    </row>
    <row r="24" spans="1:19">
      <c r="A24" s="86" t="s">
        <v>82</v>
      </c>
      <c r="B24" s="75">
        <f>HLOOKUP($B$7,$F$8:$Q$74,S24,FALSE)</f>
        <v>0</v>
      </c>
      <c r="E24" s="76"/>
      <c r="F24" s="75">
        <f>F12</f>
        <v>0</v>
      </c>
      <c r="G24" s="75">
        <f t="shared" ref="G24:Q24" si="9">F24+G12</f>
        <v>0</v>
      </c>
      <c r="H24" s="75">
        <f t="shared" si="9"/>
        <v>0</v>
      </c>
      <c r="I24" s="75">
        <f t="shared" si="9"/>
        <v>0</v>
      </c>
      <c r="J24" s="75">
        <f t="shared" si="9"/>
        <v>0</v>
      </c>
      <c r="K24" s="75">
        <f t="shared" si="9"/>
        <v>0</v>
      </c>
      <c r="L24" s="75">
        <f t="shared" si="9"/>
        <v>0</v>
      </c>
      <c r="M24" s="75">
        <f t="shared" si="9"/>
        <v>0</v>
      </c>
      <c r="N24" s="75">
        <f t="shared" si="9"/>
        <v>0</v>
      </c>
      <c r="O24" s="75">
        <f t="shared" si="9"/>
        <v>0</v>
      </c>
      <c r="P24" s="75">
        <f t="shared" si="9"/>
        <v>0</v>
      </c>
      <c r="Q24" s="75">
        <f t="shared" si="9"/>
        <v>0</v>
      </c>
      <c r="R24" s="25"/>
      <c r="S24" s="4">
        <v>17</v>
      </c>
    </row>
    <row r="25" spans="1:19">
      <c r="A25" s="86" t="s">
        <v>14</v>
      </c>
      <c r="B25" s="75">
        <f>HLOOKUP($B$7,$F$8:$Q$74,S25,FALSE)</f>
        <v>0</v>
      </c>
      <c r="E25" s="20" t="s">
        <v>30</v>
      </c>
      <c r="F25" s="81">
        <v>0</v>
      </c>
      <c r="G25" s="81">
        <v>0</v>
      </c>
      <c r="H25" s="81">
        <v>0</v>
      </c>
      <c r="I25" s="81">
        <v>0</v>
      </c>
      <c r="J25" s="81"/>
      <c r="K25" s="81"/>
      <c r="L25" s="81"/>
      <c r="M25" s="81"/>
      <c r="N25" s="81"/>
      <c r="O25" s="81"/>
      <c r="P25" s="81"/>
      <c r="Q25" s="81"/>
      <c r="R25" s="25"/>
      <c r="S25" s="4">
        <v>18</v>
      </c>
    </row>
    <row r="26" spans="1:19">
      <c r="A26" s="89" t="s">
        <v>47</v>
      </c>
      <c r="B26" s="83">
        <f>HLOOKUP($B$7,$F$8:$Q$74,S26,FALSE)</f>
        <v>0</v>
      </c>
      <c r="C26" s="92"/>
      <c r="D26" s="92"/>
      <c r="E26" s="99"/>
      <c r="F26" s="83">
        <f>F24+F25</f>
        <v>0</v>
      </c>
      <c r="G26" s="83">
        <f>G24+G25</f>
        <v>0</v>
      </c>
      <c r="H26" s="83">
        <f t="shared" ref="H26:Q26" si="10">H24+H25</f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>
        <f t="shared" si="10"/>
        <v>0</v>
      </c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25"/>
      <c r="S26" s="4">
        <v>19</v>
      </c>
    </row>
    <row r="27" spans="1:19">
      <c r="A27" s="61" t="s">
        <v>77</v>
      </c>
      <c r="B27" s="59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5"/>
      <c r="S27" s="4">
        <v>20</v>
      </c>
    </row>
    <row r="28" spans="1:19">
      <c r="A28" s="86" t="s">
        <v>83</v>
      </c>
      <c r="B28" s="19">
        <f>HLOOKUP($B$7,$F$8:$Q$74,S28,FALSE)</f>
        <v>0</v>
      </c>
      <c r="F28" s="29">
        <f>F13</f>
        <v>0</v>
      </c>
      <c r="G28" s="29">
        <f t="shared" ref="G28:Q28" si="11">F28+G13</f>
        <v>0</v>
      </c>
      <c r="H28" s="29">
        <f t="shared" si="11"/>
        <v>0</v>
      </c>
      <c r="I28" s="29">
        <f t="shared" si="11"/>
        <v>0</v>
      </c>
      <c r="J28" s="29">
        <f t="shared" si="11"/>
        <v>0</v>
      </c>
      <c r="K28" s="29">
        <f t="shared" si="11"/>
        <v>0</v>
      </c>
      <c r="L28" s="29">
        <f t="shared" si="11"/>
        <v>0</v>
      </c>
      <c r="M28" s="29">
        <f t="shared" si="11"/>
        <v>0</v>
      </c>
      <c r="N28" s="29">
        <f t="shared" si="11"/>
        <v>0</v>
      </c>
      <c r="O28" s="29">
        <f t="shared" si="11"/>
        <v>0</v>
      </c>
      <c r="P28" s="29">
        <f t="shared" si="11"/>
        <v>0</v>
      </c>
      <c r="Q28" s="29">
        <f t="shared" si="11"/>
        <v>0</v>
      </c>
      <c r="R28" s="64"/>
      <c r="S28" s="4">
        <v>21</v>
      </c>
    </row>
    <row r="29" spans="1:19">
      <c r="A29" s="86" t="s">
        <v>15</v>
      </c>
      <c r="B29" s="19">
        <f>HLOOKUP($B$7,$F$8:$Q$74,S29,FALSE)</f>
        <v>0</v>
      </c>
      <c r="E29" s="20" t="s">
        <v>30</v>
      </c>
      <c r="F29" s="7">
        <v>0</v>
      </c>
      <c r="G29" s="7">
        <v>0</v>
      </c>
      <c r="H29" s="7">
        <v>0</v>
      </c>
      <c r="I29" s="7">
        <v>0</v>
      </c>
      <c r="J29" s="7"/>
      <c r="K29" s="7"/>
      <c r="L29" s="7"/>
      <c r="M29" s="7"/>
      <c r="N29" s="7"/>
      <c r="O29" s="7"/>
      <c r="P29" s="7"/>
      <c r="Q29" s="7"/>
      <c r="R29" s="64"/>
      <c r="S29" s="4">
        <v>22</v>
      </c>
    </row>
    <row r="30" spans="1:19">
      <c r="A30" s="89" t="s">
        <v>26</v>
      </c>
      <c r="B30" s="51">
        <f>HLOOKUP($B$7,$F$8:$Q$74,S30,FALSE)</f>
        <v>0</v>
      </c>
      <c r="C30" s="92"/>
      <c r="D30" s="92"/>
      <c r="E30" s="92"/>
      <c r="F30" s="95">
        <f>F28+F29</f>
        <v>0</v>
      </c>
      <c r="G30" s="95">
        <f>G28+G29</f>
        <v>0</v>
      </c>
      <c r="H30" s="95">
        <f t="shared" ref="H30:Q30" si="12">H28+H29</f>
        <v>0</v>
      </c>
      <c r="I30" s="95">
        <f t="shared" si="12"/>
        <v>0</v>
      </c>
      <c r="J30" s="95">
        <f t="shared" si="12"/>
        <v>0</v>
      </c>
      <c r="K30" s="95">
        <f t="shared" si="12"/>
        <v>0</v>
      </c>
      <c r="L30" s="95">
        <f t="shared" si="12"/>
        <v>0</v>
      </c>
      <c r="M30" s="95">
        <f t="shared" si="12"/>
        <v>0</v>
      </c>
      <c r="N30" s="95">
        <f t="shared" si="12"/>
        <v>0</v>
      </c>
      <c r="O30" s="95">
        <f t="shared" si="12"/>
        <v>0</v>
      </c>
      <c r="P30" s="95">
        <f t="shared" si="12"/>
        <v>0</v>
      </c>
      <c r="Q30" s="95">
        <f t="shared" si="12"/>
        <v>0</v>
      </c>
      <c r="R30" s="64"/>
      <c r="S30" s="4">
        <v>23</v>
      </c>
    </row>
    <row r="31" spans="1:19">
      <c r="A31" s="61" t="s">
        <v>94</v>
      </c>
      <c r="B31" s="5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5"/>
      <c r="S31" s="4">
        <v>24</v>
      </c>
    </row>
    <row r="32" spans="1:19">
      <c r="A32" s="90" t="s">
        <v>50</v>
      </c>
      <c r="B32" s="49">
        <f t="shared" ref="B32:B40" si="13">HLOOKUP($B$7,$F$8:$Q$74,S32,FALSE)</f>
        <v>6337.2399999999989</v>
      </c>
      <c r="E32" s="20" t="s">
        <v>28</v>
      </c>
      <c r="F32" s="9">
        <v>993.31</v>
      </c>
      <c r="G32" s="9">
        <v>12099.93</v>
      </c>
      <c r="H32" s="9">
        <v>4891.8999999999996</v>
      </c>
      <c r="I32" s="9">
        <v>6337.2399999999989</v>
      </c>
      <c r="J32" s="9"/>
      <c r="K32" s="9"/>
      <c r="L32" s="9"/>
      <c r="M32" s="9"/>
      <c r="N32" s="9"/>
      <c r="O32" s="9"/>
      <c r="P32" s="9"/>
      <c r="Q32" s="9"/>
      <c r="R32" s="85">
        <f>SUM(F32:Q32)</f>
        <v>24322.379999999997</v>
      </c>
      <c r="S32" s="4">
        <v>25</v>
      </c>
    </row>
    <row r="33" spans="1:19">
      <c r="A33" s="90" t="s">
        <v>51</v>
      </c>
      <c r="B33" s="49">
        <f t="shared" si="13"/>
        <v>5451.25</v>
      </c>
      <c r="E33" s="20" t="s">
        <v>28</v>
      </c>
      <c r="F33" s="9">
        <v>2562.21</v>
      </c>
      <c r="G33" s="9">
        <v>6147.5</v>
      </c>
      <c r="H33" s="9">
        <v>6421.3</v>
      </c>
      <c r="I33" s="9">
        <v>5451.25</v>
      </c>
      <c r="J33" s="9"/>
      <c r="K33" s="9"/>
      <c r="L33" s="9"/>
      <c r="M33" s="9"/>
      <c r="N33" s="9"/>
      <c r="O33" s="9"/>
      <c r="P33" s="9"/>
      <c r="Q33" s="9"/>
      <c r="R33" s="85">
        <f t="shared" ref="R33:R37" si="14">SUM(F33:Q33)</f>
        <v>20582.259999999998</v>
      </c>
      <c r="S33" s="4">
        <v>26</v>
      </c>
    </row>
    <row r="34" spans="1:19">
      <c r="A34" s="90" t="s">
        <v>52</v>
      </c>
      <c r="B34" s="49">
        <f t="shared" si="13"/>
        <v>5345.9</v>
      </c>
      <c r="E34" s="20" t="s">
        <v>28</v>
      </c>
      <c r="F34" s="9">
        <v>0</v>
      </c>
      <c r="G34" s="9">
        <v>0</v>
      </c>
      <c r="H34" s="9">
        <v>0</v>
      </c>
      <c r="I34" s="9">
        <v>5345.9</v>
      </c>
      <c r="J34" s="9"/>
      <c r="K34" s="9"/>
      <c r="L34" s="9"/>
      <c r="M34" s="9"/>
      <c r="N34" s="9"/>
      <c r="O34" s="9"/>
      <c r="P34" s="9"/>
      <c r="Q34" s="9"/>
      <c r="R34" s="85">
        <f t="shared" si="14"/>
        <v>5345.9</v>
      </c>
      <c r="S34" s="4">
        <v>27</v>
      </c>
    </row>
    <row r="35" spans="1:19">
      <c r="A35" s="90" t="s">
        <v>53</v>
      </c>
      <c r="B35" s="49">
        <f t="shared" si="13"/>
        <v>0</v>
      </c>
      <c r="E35" s="20" t="s">
        <v>28</v>
      </c>
      <c r="F35" s="9">
        <v>0</v>
      </c>
      <c r="G35" s="9">
        <v>0</v>
      </c>
      <c r="H35" s="9">
        <v>0</v>
      </c>
      <c r="I35" s="9">
        <v>0</v>
      </c>
      <c r="J35" s="9"/>
      <c r="K35" s="9"/>
      <c r="L35" s="9"/>
      <c r="M35" s="9"/>
      <c r="N35" s="9"/>
      <c r="O35" s="9"/>
      <c r="P35" s="9"/>
      <c r="Q35" s="9"/>
      <c r="R35" s="85">
        <f t="shared" si="14"/>
        <v>0</v>
      </c>
      <c r="S35" s="4">
        <v>28</v>
      </c>
    </row>
    <row r="36" spans="1:19">
      <c r="A36" s="90" t="s">
        <v>54</v>
      </c>
      <c r="B36" s="49">
        <f t="shared" si="13"/>
        <v>0</v>
      </c>
      <c r="E36" s="20" t="s">
        <v>28</v>
      </c>
      <c r="F36" s="9">
        <v>0</v>
      </c>
      <c r="G36" s="9">
        <v>0</v>
      </c>
      <c r="H36" s="9">
        <v>225</v>
      </c>
      <c r="I36" s="9">
        <v>0</v>
      </c>
      <c r="J36" s="9"/>
      <c r="K36" s="9"/>
      <c r="L36" s="9"/>
      <c r="M36" s="9"/>
      <c r="N36" s="9"/>
      <c r="O36" s="9"/>
      <c r="P36" s="9"/>
      <c r="Q36" s="9"/>
      <c r="R36" s="85">
        <f t="shared" si="14"/>
        <v>225</v>
      </c>
      <c r="S36" s="4">
        <v>29</v>
      </c>
    </row>
    <row r="37" spans="1:19">
      <c r="A37" s="90" t="s">
        <v>55</v>
      </c>
      <c r="B37" s="49">
        <f t="shared" si="13"/>
        <v>90787.74</v>
      </c>
      <c r="E37" s="20" t="s">
        <v>28</v>
      </c>
      <c r="F37" s="9">
        <v>0</v>
      </c>
      <c r="G37" s="9">
        <v>0</v>
      </c>
      <c r="H37" s="9">
        <v>0</v>
      </c>
      <c r="I37" s="9">
        <v>90787.74</v>
      </c>
      <c r="J37" s="9"/>
      <c r="K37" s="9"/>
      <c r="L37" s="9"/>
      <c r="M37" s="9"/>
      <c r="N37" s="9"/>
      <c r="O37" s="9"/>
      <c r="P37" s="9"/>
      <c r="Q37" s="9"/>
      <c r="R37" s="85">
        <f t="shared" si="14"/>
        <v>90787.74</v>
      </c>
      <c r="S37" s="4">
        <v>30</v>
      </c>
    </row>
    <row r="38" spans="1:19">
      <c r="A38" s="90" t="s">
        <v>56</v>
      </c>
      <c r="B38" s="49">
        <f t="shared" si="13"/>
        <v>0</v>
      </c>
      <c r="E38" s="20" t="s">
        <v>28</v>
      </c>
      <c r="F38" s="9">
        <v>0</v>
      </c>
      <c r="G38" s="9">
        <v>0</v>
      </c>
      <c r="H38" s="9">
        <v>0</v>
      </c>
      <c r="I38" s="9">
        <v>0</v>
      </c>
      <c r="J38" s="9"/>
      <c r="K38" s="9"/>
      <c r="L38" s="9"/>
      <c r="M38" s="9"/>
      <c r="N38" s="9"/>
      <c r="O38" s="9"/>
      <c r="P38" s="9"/>
      <c r="Q38" s="9"/>
      <c r="R38" s="85">
        <f>SUM(F38:Q38)</f>
        <v>0</v>
      </c>
      <c r="S38" s="4">
        <v>31</v>
      </c>
    </row>
    <row r="39" spans="1:19">
      <c r="A39" s="90" t="s">
        <v>95</v>
      </c>
      <c r="B39" s="49">
        <f t="shared" si="13"/>
        <v>0</v>
      </c>
      <c r="E39" s="20" t="s">
        <v>28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85">
        <f>SUM(F39:Q39)</f>
        <v>0</v>
      </c>
      <c r="S39" s="4">
        <v>32</v>
      </c>
    </row>
    <row r="40" spans="1:19">
      <c r="A40" s="89" t="s">
        <v>57</v>
      </c>
      <c r="B40" s="35">
        <f t="shared" si="13"/>
        <v>107922.13</v>
      </c>
      <c r="C40" s="92"/>
      <c r="D40" s="92"/>
      <c r="E40" s="92"/>
      <c r="F40" s="96">
        <f>SUM(F32:F39)</f>
        <v>3555.52</v>
      </c>
      <c r="G40" s="96">
        <f t="shared" ref="G40:Q40" si="15">SUM(G32:G39)</f>
        <v>18247.43</v>
      </c>
      <c r="H40" s="96">
        <f t="shared" si="15"/>
        <v>11538.2</v>
      </c>
      <c r="I40" s="96">
        <f t="shared" si="15"/>
        <v>107922.13</v>
      </c>
      <c r="J40" s="96">
        <f t="shared" si="15"/>
        <v>0</v>
      </c>
      <c r="K40" s="96">
        <f t="shared" si="15"/>
        <v>0</v>
      </c>
      <c r="L40" s="96">
        <f t="shared" si="15"/>
        <v>0</v>
      </c>
      <c r="M40" s="96">
        <f t="shared" si="15"/>
        <v>0</v>
      </c>
      <c r="N40" s="96">
        <f t="shared" si="15"/>
        <v>0</v>
      </c>
      <c r="O40" s="96">
        <f t="shared" si="15"/>
        <v>0</v>
      </c>
      <c r="P40" s="96">
        <f t="shared" si="15"/>
        <v>0</v>
      </c>
      <c r="Q40" s="96">
        <f t="shared" si="15"/>
        <v>0</v>
      </c>
      <c r="R40" s="66">
        <f>SUM(F40:Q40)</f>
        <v>141263.28</v>
      </c>
      <c r="S40" s="4">
        <v>33</v>
      </c>
    </row>
    <row r="41" spans="1:19">
      <c r="A41" s="61" t="s">
        <v>96</v>
      </c>
      <c r="B41" s="5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5"/>
      <c r="S41" s="4">
        <v>34</v>
      </c>
    </row>
    <row r="42" spans="1:19">
      <c r="A42" s="90" t="s">
        <v>100</v>
      </c>
      <c r="B42" s="98">
        <f>HLOOKUP($B$7,$F$8:$Q$74,S42,FALSE)</f>
        <v>14900.30362913751</v>
      </c>
      <c r="E42" s="20" t="s">
        <v>30</v>
      </c>
      <c r="F42" s="9">
        <v>223038.63386848182</v>
      </c>
      <c r="G42" s="9">
        <v>805.14803261670943</v>
      </c>
      <c r="H42" s="9">
        <v>11.482063271140534</v>
      </c>
      <c r="I42" s="9">
        <v>14900.30362913751</v>
      </c>
      <c r="J42" s="9"/>
      <c r="K42" s="9"/>
      <c r="L42" s="9"/>
      <c r="M42" s="9"/>
      <c r="N42" s="9"/>
      <c r="O42" s="9"/>
      <c r="P42" s="9"/>
      <c r="Q42" s="9"/>
      <c r="R42" s="25"/>
      <c r="S42" s="4">
        <v>35</v>
      </c>
    </row>
    <row r="43" spans="1:19">
      <c r="A43" s="90" t="s">
        <v>101</v>
      </c>
      <c r="B43" s="98">
        <f t="shared" ref="B43:B49" si="16">HLOOKUP($B$7,$F$8:$Q$74,S43,FALSE)</f>
        <v>627.19213991427478</v>
      </c>
      <c r="E43" s="20" t="s">
        <v>30</v>
      </c>
      <c r="F43" s="9">
        <v>5365.8987541741599</v>
      </c>
      <c r="G43" s="9">
        <v>0</v>
      </c>
      <c r="H43" s="9">
        <v>0</v>
      </c>
      <c r="I43" s="9">
        <v>627.19213991427478</v>
      </c>
      <c r="J43" s="9"/>
      <c r="K43" s="9"/>
      <c r="L43" s="9"/>
      <c r="M43" s="9"/>
      <c r="N43" s="9"/>
      <c r="O43" s="9"/>
      <c r="P43" s="9"/>
      <c r="Q43" s="9"/>
      <c r="R43" s="25"/>
      <c r="S43" s="4">
        <v>36</v>
      </c>
    </row>
    <row r="44" spans="1:19">
      <c r="A44" s="90" t="s">
        <v>102</v>
      </c>
      <c r="B44" s="98">
        <f t="shared" si="16"/>
        <v>10555.748774435728</v>
      </c>
      <c r="E44" s="20" t="s">
        <v>30</v>
      </c>
      <c r="F44" s="9">
        <v>240213.20710249167</v>
      </c>
      <c r="G44" s="9">
        <v>587.93014334216798</v>
      </c>
      <c r="H44" s="9">
        <v>8.1553470229360521</v>
      </c>
      <c r="I44" s="9">
        <v>10555.748774435728</v>
      </c>
      <c r="J44" s="9"/>
      <c r="K44" s="9"/>
      <c r="L44" s="9"/>
      <c r="M44" s="9"/>
      <c r="N44" s="9"/>
      <c r="O44" s="9"/>
      <c r="P44" s="9"/>
      <c r="Q44" s="9"/>
      <c r="R44" s="25"/>
      <c r="S44" s="4">
        <v>37</v>
      </c>
    </row>
    <row r="45" spans="1:19">
      <c r="A45" s="90" t="s">
        <v>103</v>
      </c>
      <c r="B45" s="98">
        <f t="shared" si="16"/>
        <v>25.218119858417545</v>
      </c>
      <c r="E45" s="20" t="s">
        <v>30</v>
      </c>
      <c r="F45" s="9">
        <v>0</v>
      </c>
      <c r="G45" s="9">
        <v>0</v>
      </c>
      <c r="H45" s="9">
        <v>0</v>
      </c>
      <c r="I45" s="9">
        <v>25.218119858417545</v>
      </c>
      <c r="J45" s="9"/>
      <c r="K45" s="9"/>
      <c r="L45" s="9"/>
      <c r="M45" s="9"/>
      <c r="N45" s="9"/>
      <c r="O45" s="9"/>
      <c r="P45" s="9"/>
      <c r="Q45" s="9"/>
      <c r="R45" s="25"/>
      <c r="S45" s="4">
        <v>38</v>
      </c>
    </row>
    <row r="46" spans="1:19">
      <c r="A46" s="90" t="s">
        <v>104</v>
      </c>
      <c r="B46" s="98">
        <f t="shared" si="16"/>
        <v>100823.01405327034</v>
      </c>
      <c r="E46" s="20" t="s">
        <v>30</v>
      </c>
      <c r="F46" s="9">
        <v>199831</v>
      </c>
      <c r="G46" s="9">
        <v>6020</v>
      </c>
      <c r="H46" s="9">
        <v>75.964432799668671</v>
      </c>
      <c r="I46" s="9">
        <v>100823.01405327034</v>
      </c>
      <c r="J46" s="9"/>
      <c r="K46" s="9"/>
      <c r="L46" s="9"/>
      <c r="M46" s="9"/>
      <c r="N46" s="9"/>
      <c r="O46" s="9"/>
      <c r="P46" s="9"/>
      <c r="Q46" s="9"/>
      <c r="R46" s="25"/>
      <c r="S46" s="4">
        <v>39</v>
      </c>
    </row>
    <row r="47" spans="1:19">
      <c r="A47" s="90" t="s">
        <v>105</v>
      </c>
      <c r="B47" s="98">
        <f t="shared" si="16"/>
        <v>29677.061318568354</v>
      </c>
      <c r="E47" s="20" t="s">
        <v>30</v>
      </c>
      <c r="F47" s="9">
        <v>400840.81433341897</v>
      </c>
      <c r="G47" s="9">
        <v>1637.96312950068</v>
      </c>
      <c r="H47" s="9">
        <v>22.510867663985163</v>
      </c>
      <c r="I47" s="9">
        <v>29677.061318568354</v>
      </c>
      <c r="J47" s="9"/>
      <c r="K47" s="9"/>
      <c r="L47" s="9"/>
      <c r="M47" s="9"/>
      <c r="N47" s="9"/>
      <c r="O47" s="9"/>
      <c r="P47" s="9"/>
      <c r="Q47" s="9"/>
      <c r="R47" s="25"/>
      <c r="S47" s="4">
        <v>40</v>
      </c>
    </row>
    <row r="48" spans="1:19">
      <c r="A48" s="90" t="s">
        <v>106</v>
      </c>
      <c r="B48" s="98">
        <f t="shared" si="16"/>
        <v>8416.7165684370884</v>
      </c>
      <c r="E48" s="20" t="s">
        <v>30</v>
      </c>
      <c r="F48" s="9">
        <v>76383.238928846651</v>
      </c>
      <c r="G48" s="9">
        <v>324.83397104697633</v>
      </c>
      <c r="H48" s="9">
        <v>6.006309317906128</v>
      </c>
      <c r="I48" s="9">
        <v>8416.7165684370884</v>
      </c>
      <c r="J48" s="9"/>
      <c r="K48" s="9"/>
      <c r="L48" s="9"/>
      <c r="M48" s="9"/>
      <c r="N48" s="9"/>
      <c r="O48" s="9"/>
      <c r="P48" s="9"/>
      <c r="Q48" s="9"/>
      <c r="R48" s="25"/>
      <c r="S48" s="4">
        <v>41</v>
      </c>
    </row>
    <row r="49" spans="1:19">
      <c r="A49" s="90" t="s">
        <v>107</v>
      </c>
      <c r="B49" s="98">
        <f t="shared" si="16"/>
        <v>0</v>
      </c>
      <c r="E49" s="20" t="s">
        <v>30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25"/>
      <c r="S49" s="4">
        <v>42</v>
      </c>
    </row>
    <row r="50" spans="1:19">
      <c r="A50" s="61" t="s">
        <v>78</v>
      </c>
      <c r="B50" s="59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5"/>
      <c r="S50" s="4">
        <v>43</v>
      </c>
    </row>
    <row r="51" spans="1:19">
      <c r="A51" s="1" t="s">
        <v>71</v>
      </c>
      <c r="B51" s="31">
        <f t="shared" ref="B51:B58" si="17">HLOOKUP($B$7,$F$8:$Q$74,S51,FALSE)</f>
        <v>3197500</v>
      </c>
      <c r="F51" s="32">
        <f>$F$4+$F$5</f>
        <v>3197500</v>
      </c>
      <c r="G51" s="32">
        <f t="shared" ref="G51:Q51" si="18">$F$4+$F$5</f>
        <v>3197500</v>
      </c>
      <c r="H51" s="32">
        <f t="shared" si="18"/>
        <v>3197500</v>
      </c>
      <c r="I51" s="32">
        <f t="shared" si="18"/>
        <v>3197500</v>
      </c>
      <c r="J51" s="32">
        <f t="shared" si="18"/>
        <v>3197500</v>
      </c>
      <c r="K51" s="32">
        <f t="shared" si="18"/>
        <v>3197500</v>
      </c>
      <c r="L51" s="32">
        <f t="shared" si="18"/>
        <v>3197500</v>
      </c>
      <c r="M51" s="32">
        <f t="shared" si="18"/>
        <v>3197500</v>
      </c>
      <c r="N51" s="32">
        <f t="shared" si="18"/>
        <v>3197500</v>
      </c>
      <c r="O51" s="32">
        <f t="shared" si="18"/>
        <v>3197500</v>
      </c>
      <c r="P51" s="32">
        <f t="shared" si="18"/>
        <v>3197500</v>
      </c>
      <c r="Q51" s="32">
        <f t="shared" si="18"/>
        <v>3197500</v>
      </c>
      <c r="R51" s="62"/>
      <c r="S51" s="4">
        <v>44</v>
      </c>
    </row>
    <row r="52" spans="1:19">
      <c r="A52" s="1" t="s">
        <v>72</v>
      </c>
      <c r="B52" s="31">
        <f t="shared" si="17"/>
        <v>1065833.3333333333</v>
      </c>
      <c r="F52" s="33">
        <f t="shared" ref="F52:Q52" si="19">F51*(F9/12)</f>
        <v>266458.33333333331</v>
      </c>
      <c r="G52" s="33">
        <f t="shared" si="19"/>
        <v>532916.66666666663</v>
      </c>
      <c r="H52" s="33">
        <f t="shared" si="19"/>
        <v>799375</v>
      </c>
      <c r="I52" s="33">
        <f t="shared" si="19"/>
        <v>1065833.3333333333</v>
      </c>
      <c r="J52" s="33">
        <f t="shared" si="19"/>
        <v>1332291.6666666667</v>
      </c>
      <c r="K52" s="33">
        <f t="shared" si="19"/>
        <v>1598750</v>
      </c>
      <c r="L52" s="33">
        <f t="shared" si="19"/>
        <v>1865208.3333333335</v>
      </c>
      <c r="M52" s="33">
        <f t="shared" si="19"/>
        <v>2131666.6666666665</v>
      </c>
      <c r="N52" s="33">
        <f t="shared" si="19"/>
        <v>2398125</v>
      </c>
      <c r="O52" s="33">
        <f t="shared" si="19"/>
        <v>2664583.3333333335</v>
      </c>
      <c r="P52" s="33">
        <f t="shared" si="19"/>
        <v>2931041.6666666665</v>
      </c>
      <c r="Q52" s="33">
        <f t="shared" si="19"/>
        <v>3197500</v>
      </c>
      <c r="R52" s="64"/>
      <c r="S52" s="4">
        <v>45</v>
      </c>
    </row>
    <row r="53" spans="1:19">
      <c r="A53" s="86" t="s">
        <v>67</v>
      </c>
      <c r="B53" s="98">
        <f t="shared" si="17"/>
        <v>141263.28</v>
      </c>
      <c r="F53" s="37">
        <f>SUM(F32:F38)</f>
        <v>3555.52</v>
      </c>
      <c r="G53" s="37">
        <f t="shared" ref="G53:Q53" si="20">F53+G40</f>
        <v>21802.95</v>
      </c>
      <c r="H53" s="37">
        <f t="shared" si="20"/>
        <v>33341.15</v>
      </c>
      <c r="I53" s="37">
        <f t="shared" si="20"/>
        <v>141263.28</v>
      </c>
      <c r="J53" s="37">
        <f t="shared" si="20"/>
        <v>141263.28</v>
      </c>
      <c r="K53" s="37">
        <f t="shared" si="20"/>
        <v>141263.28</v>
      </c>
      <c r="L53" s="37">
        <f t="shared" si="20"/>
        <v>141263.28</v>
      </c>
      <c r="M53" s="37">
        <f t="shared" si="20"/>
        <v>141263.28</v>
      </c>
      <c r="N53" s="37">
        <f t="shared" si="20"/>
        <v>141263.28</v>
      </c>
      <c r="O53" s="37">
        <f t="shared" si="20"/>
        <v>141263.28</v>
      </c>
      <c r="P53" s="37">
        <f t="shared" si="20"/>
        <v>141263.28</v>
      </c>
      <c r="Q53" s="37">
        <f t="shared" si="20"/>
        <v>141263.28</v>
      </c>
      <c r="R53" s="67"/>
      <c r="S53" s="4">
        <v>46</v>
      </c>
    </row>
    <row r="54" spans="1:19">
      <c r="A54" s="86" t="s">
        <v>97</v>
      </c>
      <c r="B54" s="98">
        <f t="shared" si="17"/>
        <v>165025.2546036217</v>
      </c>
      <c r="E54" s="3"/>
      <c r="F54" s="37">
        <f>SUM(F42:F49)</f>
        <v>1145672.7929874132</v>
      </c>
      <c r="G54" s="37">
        <f t="shared" ref="G54:Q54" si="21">SUM(G42:G49)</f>
        <v>9375.8752765065328</v>
      </c>
      <c r="H54" s="37">
        <f t="shared" si="21"/>
        <v>124.11902007563656</v>
      </c>
      <c r="I54" s="37">
        <f t="shared" si="21"/>
        <v>165025.2546036217</v>
      </c>
      <c r="J54" s="37">
        <f t="shared" si="21"/>
        <v>0</v>
      </c>
      <c r="K54" s="37">
        <f t="shared" si="21"/>
        <v>0</v>
      </c>
      <c r="L54" s="37">
        <f t="shared" si="21"/>
        <v>0</v>
      </c>
      <c r="M54" s="37">
        <f t="shared" si="21"/>
        <v>0</v>
      </c>
      <c r="N54" s="37">
        <f t="shared" si="21"/>
        <v>0</v>
      </c>
      <c r="O54" s="37">
        <f t="shared" si="21"/>
        <v>0</v>
      </c>
      <c r="P54" s="37">
        <f t="shared" si="21"/>
        <v>0</v>
      </c>
      <c r="Q54" s="37">
        <f t="shared" si="21"/>
        <v>0</v>
      </c>
      <c r="R54" s="67"/>
      <c r="S54" s="4">
        <v>47</v>
      </c>
    </row>
    <row r="55" spans="1:19">
      <c r="A55" s="91" t="s">
        <v>68</v>
      </c>
      <c r="B55" s="35">
        <f t="shared" si="17"/>
        <v>306288.53460362169</v>
      </c>
      <c r="C55" s="92"/>
      <c r="D55" s="92"/>
      <c r="E55" s="93"/>
      <c r="F55" s="36">
        <f>F53+F54</f>
        <v>1149228.3129874133</v>
      </c>
      <c r="G55" s="36">
        <f t="shared" ref="G55:Q55" si="22">G53+G54</f>
        <v>31178.825276506534</v>
      </c>
      <c r="H55" s="36">
        <f t="shared" si="22"/>
        <v>33465.269020075641</v>
      </c>
      <c r="I55" s="36">
        <f t="shared" si="22"/>
        <v>306288.53460362169</v>
      </c>
      <c r="J55" s="36">
        <f t="shared" si="22"/>
        <v>141263.28</v>
      </c>
      <c r="K55" s="36">
        <f t="shared" si="22"/>
        <v>141263.28</v>
      </c>
      <c r="L55" s="36">
        <f>L53+L54</f>
        <v>141263.28</v>
      </c>
      <c r="M55" s="36">
        <f t="shared" si="22"/>
        <v>141263.28</v>
      </c>
      <c r="N55" s="36">
        <f t="shared" si="22"/>
        <v>141263.28</v>
      </c>
      <c r="O55" s="36">
        <f t="shared" si="22"/>
        <v>141263.28</v>
      </c>
      <c r="P55" s="36">
        <f t="shared" si="22"/>
        <v>141263.28</v>
      </c>
      <c r="Q55" s="36">
        <f t="shared" si="22"/>
        <v>141263.28</v>
      </c>
      <c r="R55" s="67"/>
      <c r="S55" s="4">
        <v>48</v>
      </c>
    </row>
    <row r="56" spans="1:19">
      <c r="A56" s="86" t="s">
        <v>84</v>
      </c>
      <c r="B56" s="88">
        <f t="shared" si="17"/>
        <v>4.4179290070367472E-2</v>
      </c>
      <c r="F56" s="88">
        <f>F53/F51</f>
        <v>1.1119687255668491E-3</v>
      </c>
      <c r="G56" s="88">
        <f t="shared" ref="G56:Q56" si="23">G53/G51</f>
        <v>6.8187490226739641E-3</v>
      </c>
      <c r="H56" s="88">
        <f t="shared" si="23"/>
        <v>1.0427255668491009E-2</v>
      </c>
      <c r="I56" s="88">
        <f t="shared" si="23"/>
        <v>4.4179290070367472E-2</v>
      </c>
      <c r="J56" s="88">
        <f t="shared" si="23"/>
        <v>4.4179290070367472E-2</v>
      </c>
      <c r="K56" s="88">
        <f t="shared" si="23"/>
        <v>4.4179290070367472E-2</v>
      </c>
      <c r="L56" s="88">
        <f>L53/L51</f>
        <v>4.4179290070367472E-2</v>
      </c>
      <c r="M56" s="88">
        <f t="shared" si="23"/>
        <v>4.4179290070367472E-2</v>
      </c>
      <c r="N56" s="88">
        <f t="shared" si="23"/>
        <v>4.4179290070367472E-2</v>
      </c>
      <c r="O56" s="88">
        <f t="shared" si="23"/>
        <v>4.4179290070367472E-2</v>
      </c>
      <c r="P56" s="88">
        <f t="shared" si="23"/>
        <v>4.4179290070367472E-2</v>
      </c>
      <c r="Q56" s="88">
        <f t="shared" si="23"/>
        <v>4.4179290070367472E-2</v>
      </c>
      <c r="R56" s="97"/>
      <c r="S56" s="4">
        <v>49</v>
      </c>
    </row>
    <row r="57" spans="1:19">
      <c r="A57" s="86" t="s">
        <v>85</v>
      </c>
      <c r="B57" s="88">
        <f t="shared" si="17"/>
        <v>9.5790003003478244E-2</v>
      </c>
      <c r="F57" s="88">
        <f>F55/F51</f>
        <v>0.3594146404964545</v>
      </c>
      <c r="G57" s="88">
        <f t="shared" ref="G57:Q57" si="24">G55/G51</f>
        <v>9.7510008683366796E-3</v>
      </c>
      <c r="H57" s="88">
        <f t="shared" si="24"/>
        <v>1.0466073188452116E-2</v>
      </c>
      <c r="I57" s="88">
        <f t="shared" si="24"/>
        <v>9.5790003003478244E-2</v>
      </c>
      <c r="J57" s="88">
        <f t="shared" si="24"/>
        <v>4.4179290070367472E-2</v>
      </c>
      <c r="K57" s="88">
        <f t="shared" si="24"/>
        <v>4.4179290070367472E-2</v>
      </c>
      <c r="L57" s="88">
        <f>L55/L51</f>
        <v>4.4179290070367472E-2</v>
      </c>
      <c r="M57" s="88">
        <f t="shared" si="24"/>
        <v>4.4179290070367472E-2</v>
      </c>
      <c r="N57" s="88">
        <f t="shared" si="24"/>
        <v>4.4179290070367472E-2</v>
      </c>
      <c r="O57" s="88">
        <f t="shared" si="24"/>
        <v>4.4179290070367472E-2</v>
      </c>
      <c r="P57" s="88">
        <f t="shared" si="24"/>
        <v>4.4179290070367472E-2</v>
      </c>
      <c r="Q57" s="88">
        <f t="shared" si="24"/>
        <v>4.4179290070367472E-2</v>
      </c>
      <c r="R57" s="97"/>
      <c r="S57" s="4">
        <v>50</v>
      </c>
    </row>
    <row r="58" spans="1:19">
      <c r="A58" s="86" t="s">
        <v>86</v>
      </c>
      <c r="B58" s="88">
        <f t="shared" si="17"/>
        <v>0.13253787021110244</v>
      </c>
      <c r="F58" s="88">
        <f>F53/F52</f>
        <v>1.334362470680219E-2</v>
      </c>
      <c r="G58" s="88">
        <f t="shared" ref="G58:Q58" si="25">G53/G52</f>
        <v>4.0912494136043788E-2</v>
      </c>
      <c r="H58" s="88">
        <f t="shared" si="25"/>
        <v>4.1709022673964036E-2</v>
      </c>
      <c r="I58" s="88">
        <f t="shared" si="25"/>
        <v>0.13253787021110244</v>
      </c>
      <c r="J58" s="88">
        <f t="shared" si="25"/>
        <v>0.10603029616888193</v>
      </c>
      <c r="K58" s="88">
        <f t="shared" si="25"/>
        <v>8.8358580140734944E-2</v>
      </c>
      <c r="L58" s="88">
        <f t="shared" si="25"/>
        <v>7.573592583491566E-2</v>
      </c>
      <c r="M58" s="88">
        <f t="shared" si="25"/>
        <v>6.6268935105551222E-2</v>
      </c>
      <c r="N58" s="88">
        <f t="shared" si="25"/>
        <v>5.8905720093823298E-2</v>
      </c>
      <c r="O58" s="88">
        <f t="shared" si="25"/>
        <v>5.3015148084440966E-2</v>
      </c>
      <c r="P58" s="88">
        <f t="shared" si="25"/>
        <v>4.8195589167673608E-2</v>
      </c>
      <c r="Q58" s="88">
        <f t="shared" si="25"/>
        <v>4.4179290070367472E-2</v>
      </c>
      <c r="R58" s="97"/>
      <c r="S58" s="4">
        <v>51</v>
      </c>
    </row>
    <row r="59" spans="1:19">
      <c r="A59" s="61" t="s">
        <v>63</v>
      </c>
      <c r="B59" s="59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97"/>
      <c r="S59" s="4">
        <v>52</v>
      </c>
    </row>
    <row r="60" spans="1:19">
      <c r="A60" s="1" t="s">
        <v>64</v>
      </c>
      <c r="B60" s="31">
        <f>HLOOKUP($B$7,$F$8:$Q$74,S60,FALSE)</f>
        <v>12790000</v>
      </c>
      <c r="F60" s="102">
        <f>SUM($F$4:$I$4)+$F$5</f>
        <v>12790000</v>
      </c>
      <c r="G60" s="102">
        <f t="shared" ref="G60:Q60" si="26">SUM($F$4:$I$4)+$F$5</f>
        <v>12790000</v>
      </c>
      <c r="H60" s="102">
        <f t="shared" si="26"/>
        <v>12790000</v>
      </c>
      <c r="I60" s="102">
        <f t="shared" si="26"/>
        <v>12790000</v>
      </c>
      <c r="J60" s="102">
        <f t="shared" si="26"/>
        <v>12790000</v>
      </c>
      <c r="K60" s="102">
        <f t="shared" si="26"/>
        <v>12790000</v>
      </c>
      <c r="L60" s="102">
        <f t="shared" si="26"/>
        <v>12790000</v>
      </c>
      <c r="M60" s="102">
        <f t="shared" si="26"/>
        <v>12790000</v>
      </c>
      <c r="N60" s="102">
        <f t="shared" si="26"/>
        <v>12790000</v>
      </c>
      <c r="O60" s="102">
        <f t="shared" si="26"/>
        <v>12790000</v>
      </c>
      <c r="P60" s="102">
        <f t="shared" si="26"/>
        <v>12790000</v>
      </c>
      <c r="Q60" s="102">
        <f t="shared" si="26"/>
        <v>12790000</v>
      </c>
      <c r="R60" s="97"/>
      <c r="S60" s="4">
        <v>53</v>
      </c>
    </row>
    <row r="61" spans="1:19">
      <c r="A61" s="86" t="s">
        <v>70</v>
      </c>
      <c r="B61" s="98">
        <f>HLOOKUP($B$7,$F$8:$Q$74,S61,FALSE)</f>
        <v>141263.28</v>
      </c>
      <c r="F61" s="101">
        <f>F53</f>
        <v>3555.52</v>
      </c>
      <c r="G61" s="101">
        <f t="shared" ref="G61:Q61" si="27">G53</f>
        <v>21802.95</v>
      </c>
      <c r="H61" s="101">
        <f t="shared" si="27"/>
        <v>33341.15</v>
      </c>
      <c r="I61" s="101">
        <f t="shared" si="27"/>
        <v>141263.28</v>
      </c>
      <c r="J61" s="101">
        <f t="shared" si="27"/>
        <v>141263.28</v>
      </c>
      <c r="K61" s="101">
        <f t="shared" si="27"/>
        <v>141263.28</v>
      </c>
      <c r="L61" s="101">
        <f t="shared" si="27"/>
        <v>141263.28</v>
      </c>
      <c r="M61" s="101">
        <f t="shared" si="27"/>
        <v>141263.28</v>
      </c>
      <c r="N61" s="101">
        <f t="shared" si="27"/>
        <v>141263.28</v>
      </c>
      <c r="O61" s="101">
        <f t="shared" si="27"/>
        <v>141263.28</v>
      </c>
      <c r="P61" s="101">
        <f t="shared" si="27"/>
        <v>141263.28</v>
      </c>
      <c r="Q61" s="101">
        <f t="shared" si="27"/>
        <v>141263.28</v>
      </c>
      <c r="R61" s="97"/>
      <c r="S61" s="4">
        <v>54</v>
      </c>
    </row>
    <row r="62" spans="1:19">
      <c r="A62" s="91" t="s">
        <v>69</v>
      </c>
      <c r="B62" s="106">
        <f>HLOOKUP($B$7,$F$8:$Q$74,S62,FALSE)</f>
        <v>306288.53460362169</v>
      </c>
      <c r="F62" s="35">
        <f>F61+F54</f>
        <v>1149228.3129874133</v>
      </c>
      <c r="G62" s="35">
        <f>G61+G54</f>
        <v>31178.825276506534</v>
      </c>
      <c r="H62" s="35">
        <f t="shared" ref="H62:Q62" si="28">H61+H54</f>
        <v>33465.269020075641</v>
      </c>
      <c r="I62" s="35">
        <f t="shared" si="28"/>
        <v>306288.53460362169</v>
      </c>
      <c r="J62" s="35">
        <f t="shared" si="28"/>
        <v>141263.28</v>
      </c>
      <c r="K62" s="35">
        <f t="shared" si="28"/>
        <v>141263.28</v>
      </c>
      <c r="L62" s="35">
        <f t="shared" si="28"/>
        <v>141263.28</v>
      </c>
      <c r="M62" s="35">
        <f t="shared" si="28"/>
        <v>141263.28</v>
      </c>
      <c r="N62" s="35">
        <f t="shared" si="28"/>
        <v>141263.28</v>
      </c>
      <c r="O62" s="35">
        <f t="shared" si="28"/>
        <v>141263.28</v>
      </c>
      <c r="P62" s="35">
        <f t="shared" si="28"/>
        <v>141263.28</v>
      </c>
      <c r="Q62" s="35">
        <f t="shared" si="28"/>
        <v>141263.28</v>
      </c>
      <c r="R62" s="97"/>
      <c r="S62" s="4">
        <v>55</v>
      </c>
    </row>
    <row r="63" spans="1:19">
      <c r="A63" s="86" t="s">
        <v>65</v>
      </c>
      <c r="B63" s="88">
        <f>HLOOKUP($B$7,$F$8:$Q$74,S63,FALSE)</f>
        <v>1.1044822517591868E-2</v>
      </c>
      <c r="F63" s="88">
        <f>F61/F60</f>
        <v>2.7799218139171227E-4</v>
      </c>
      <c r="G63" s="88">
        <f t="shared" ref="G63:Q63" si="29">G61/G60</f>
        <v>1.704687255668491E-3</v>
      </c>
      <c r="H63" s="88">
        <f t="shared" si="29"/>
        <v>2.6068139171227522E-3</v>
      </c>
      <c r="I63" s="88">
        <f t="shared" si="29"/>
        <v>1.1044822517591868E-2</v>
      </c>
      <c r="J63" s="88">
        <f t="shared" si="29"/>
        <v>1.1044822517591868E-2</v>
      </c>
      <c r="K63" s="88">
        <f t="shared" si="29"/>
        <v>1.1044822517591868E-2</v>
      </c>
      <c r="L63" s="88">
        <f t="shared" si="29"/>
        <v>1.1044822517591868E-2</v>
      </c>
      <c r="M63" s="88">
        <f t="shared" si="29"/>
        <v>1.1044822517591868E-2</v>
      </c>
      <c r="N63" s="88">
        <f t="shared" si="29"/>
        <v>1.1044822517591868E-2</v>
      </c>
      <c r="O63" s="88">
        <f t="shared" si="29"/>
        <v>1.1044822517591868E-2</v>
      </c>
      <c r="P63" s="88">
        <f t="shared" si="29"/>
        <v>1.1044822517591868E-2</v>
      </c>
      <c r="Q63" s="88">
        <f t="shared" si="29"/>
        <v>1.1044822517591868E-2</v>
      </c>
      <c r="R63" s="97"/>
      <c r="S63" s="4">
        <v>56</v>
      </c>
    </row>
    <row r="64" spans="1:19">
      <c r="A64" s="86" t="s">
        <v>66</v>
      </c>
      <c r="B64" s="88">
        <f>HLOOKUP($B$7,$F$8:$Q$74,S64,FALSE)</f>
        <v>2.3947500750869561E-2</v>
      </c>
      <c r="F64" s="88">
        <f>F62/F60</f>
        <v>8.9853660124113624E-2</v>
      </c>
      <c r="G64" s="88">
        <f t="shared" ref="G64:Q64" si="30">G62/G60</f>
        <v>2.4377502170841699E-3</v>
      </c>
      <c r="H64" s="88">
        <f t="shared" si="30"/>
        <v>2.616518297113029E-3</v>
      </c>
      <c r="I64" s="88">
        <f t="shared" si="30"/>
        <v>2.3947500750869561E-2</v>
      </c>
      <c r="J64" s="88">
        <f t="shared" si="30"/>
        <v>1.1044822517591868E-2</v>
      </c>
      <c r="K64" s="88">
        <f t="shared" si="30"/>
        <v>1.1044822517591868E-2</v>
      </c>
      <c r="L64" s="88">
        <f t="shared" si="30"/>
        <v>1.1044822517591868E-2</v>
      </c>
      <c r="M64" s="88">
        <f t="shared" si="30"/>
        <v>1.1044822517591868E-2</v>
      </c>
      <c r="N64" s="88">
        <f t="shared" si="30"/>
        <v>1.1044822517591868E-2</v>
      </c>
      <c r="O64" s="88">
        <f t="shared" si="30"/>
        <v>1.1044822517591868E-2</v>
      </c>
      <c r="P64" s="88">
        <f t="shared" si="30"/>
        <v>1.1044822517591868E-2</v>
      </c>
      <c r="Q64" s="88">
        <f t="shared" si="30"/>
        <v>1.1044822517591868E-2</v>
      </c>
      <c r="R64" s="97"/>
      <c r="S64" s="4">
        <v>57</v>
      </c>
    </row>
    <row r="65" spans="1:19">
      <c r="A65" s="61" t="s">
        <v>17</v>
      </c>
      <c r="B65" s="59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5"/>
      <c r="S65" s="4">
        <v>58</v>
      </c>
    </row>
    <row r="66" spans="1:19">
      <c r="A66" s="18" t="s">
        <v>18</v>
      </c>
      <c r="B66" s="40">
        <f>HLOOKUP($B$7,$F$8:$Q$74,S66,FALSE)</f>
        <v>0</v>
      </c>
      <c r="E66" s="20" t="s">
        <v>36</v>
      </c>
      <c r="F66" s="58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64"/>
      <c r="S66" s="4">
        <v>59</v>
      </c>
    </row>
    <row r="67" spans="1:19">
      <c r="A67" s="18" t="s">
        <v>19</v>
      </c>
      <c r="B67" s="40">
        <f>HLOOKUP($B$7,$F$8:$Q$74,S67,FALSE)</f>
        <v>0</v>
      </c>
      <c r="E67" s="20" t="s">
        <v>36</v>
      </c>
      <c r="F67" s="58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64"/>
      <c r="S67" s="4">
        <v>60</v>
      </c>
    </row>
    <row r="68" spans="1:19">
      <c r="A68" s="18" t="s">
        <v>20</v>
      </c>
      <c r="B68" s="40">
        <f>HLOOKUP($B$7,$F$8:$Q$74,S68,FALSE)</f>
        <v>0</v>
      </c>
      <c r="E68" s="20" t="s">
        <v>36</v>
      </c>
      <c r="F68" s="58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64"/>
      <c r="S68" s="4">
        <v>61</v>
      </c>
    </row>
    <row r="69" spans="1:19">
      <c r="A69" s="18" t="s">
        <v>21</v>
      </c>
      <c r="B69" s="40">
        <f>HLOOKUP($B$7,$F$8:$Q$74,S69,FALSE)</f>
        <v>0.9</v>
      </c>
      <c r="E69" s="20" t="s">
        <v>37</v>
      </c>
      <c r="F69" s="58">
        <v>0.9</v>
      </c>
      <c r="G69" s="159">
        <v>0.9</v>
      </c>
      <c r="H69" s="30">
        <v>0.9</v>
      </c>
      <c r="I69" s="30">
        <v>0.9</v>
      </c>
      <c r="J69" s="30"/>
      <c r="K69" s="30"/>
      <c r="L69" s="30"/>
      <c r="M69" s="30"/>
      <c r="N69" s="30"/>
      <c r="O69" s="30"/>
      <c r="P69" s="30"/>
      <c r="Q69" s="30"/>
      <c r="R69" s="64"/>
      <c r="S69" s="4">
        <v>62</v>
      </c>
    </row>
    <row r="70" spans="1:19">
      <c r="A70" s="61" t="s">
        <v>8</v>
      </c>
      <c r="B70" s="59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5"/>
      <c r="S70" s="4">
        <v>63</v>
      </c>
    </row>
    <row r="71" spans="1:19">
      <c r="A71" s="18" t="s">
        <v>1</v>
      </c>
      <c r="B71" s="19">
        <f>HLOOKUP($B$7,$F$8:$Q$74,S71,FALSE)</f>
        <v>44</v>
      </c>
      <c r="E71" s="20" t="s">
        <v>30</v>
      </c>
      <c r="F71" s="7">
        <v>11</v>
      </c>
      <c r="G71" s="158">
        <v>17</v>
      </c>
      <c r="H71" s="7">
        <v>22</v>
      </c>
      <c r="I71" s="7">
        <v>44</v>
      </c>
      <c r="J71" s="7"/>
      <c r="K71" s="7"/>
      <c r="L71" s="7"/>
      <c r="M71" s="7"/>
      <c r="N71" s="7"/>
      <c r="O71" s="7"/>
      <c r="P71" s="7"/>
      <c r="Q71" s="7"/>
      <c r="R71" s="25"/>
      <c r="S71" s="4">
        <v>64</v>
      </c>
    </row>
    <row r="72" spans="1:19">
      <c r="A72" s="18" t="s">
        <v>119</v>
      </c>
      <c r="B72" s="19">
        <f>HLOOKUP($B$7,$F$8:$Q$74,S72,FALSE)</f>
        <v>27</v>
      </c>
      <c r="E72" s="20" t="s">
        <v>30</v>
      </c>
      <c r="F72" s="7">
        <v>15</v>
      </c>
      <c r="G72" s="158">
        <v>17</v>
      </c>
      <c r="H72" s="7">
        <v>19</v>
      </c>
      <c r="I72" s="7">
        <v>27</v>
      </c>
      <c r="J72" s="7"/>
      <c r="K72" s="7"/>
      <c r="L72" s="7"/>
      <c r="M72" s="7"/>
      <c r="N72" s="7"/>
      <c r="O72" s="7"/>
      <c r="P72" s="7"/>
      <c r="Q72" s="7"/>
      <c r="R72" s="25"/>
      <c r="S72" s="4">
        <v>65</v>
      </c>
    </row>
    <row r="73" spans="1:19" s="4" customFormat="1">
      <c r="A73" s="61" t="s">
        <v>32</v>
      </c>
      <c r="B73" s="59"/>
      <c r="C73" s="41"/>
      <c r="E73" s="4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5"/>
      <c r="S73" s="4">
        <v>66</v>
      </c>
    </row>
    <row r="74" spans="1:19" s="4" customFormat="1">
      <c r="A74" s="18" t="s">
        <v>46</v>
      </c>
      <c r="B74" s="19">
        <f>HLOOKUP($B$7,$F$8:$Q$74,S74,FALSE)</f>
        <v>49842.9</v>
      </c>
      <c r="C74" s="41"/>
      <c r="E74" s="20" t="s">
        <v>34</v>
      </c>
      <c r="F74" s="42">
        <v>49842.9</v>
      </c>
      <c r="G74" s="42">
        <v>49842.9</v>
      </c>
      <c r="H74" s="43">
        <f>G74</f>
        <v>49842.9</v>
      </c>
      <c r="I74" s="42">
        <f>H74</f>
        <v>49842.9</v>
      </c>
      <c r="J74" s="42">
        <v>0</v>
      </c>
      <c r="K74" s="43"/>
      <c r="L74" s="42">
        <f>K74</f>
        <v>0</v>
      </c>
      <c r="M74" s="42">
        <f>K74</f>
        <v>0</v>
      </c>
      <c r="N74" s="43"/>
      <c r="O74" s="42">
        <f>N74</f>
        <v>0</v>
      </c>
      <c r="P74" s="42">
        <f>N74</f>
        <v>0</v>
      </c>
      <c r="Q74" s="43"/>
      <c r="R74" s="25"/>
      <c r="S74" s="4">
        <v>67</v>
      </c>
    </row>
    <row r="75" spans="1:19" s="4" customFormat="1">
      <c r="A75" s="18" t="s">
        <v>147</v>
      </c>
      <c r="B75" s="19">
        <f>HLOOKUP($B$7,$F$8:$Q$75,S75,FALSE)</f>
        <v>0</v>
      </c>
      <c r="C75" s="52"/>
      <c r="D75" s="53"/>
      <c r="E75" s="54" t="s">
        <v>34</v>
      </c>
      <c r="F75" s="42">
        <v>0</v>
      </c>
      <c r="G75" s="42">
        <v>0</v>
      </c>
      <c r="H75" s="43">
        <f>G75</f>
        <v>0</v>
      </c>
      <c r="I75" s="42">
        <f>H75</f>
        <v>0</v>
      </c>
      <c r="J75" s="42">
        <f>H75</f>
        <v>0</v>
      </c>
      <c r="K75" s="43"/>
      <c r="L75" s="42">
        <f>K75</f>
        <v>0</v>
      </c>
      <c r="M75" s="42">
        <f>K75</f>
        <v>0</v>
      </c>
      <c r="N75" s="43"/>
      <c r="O75" s="42">
        <f>N75</f>
        <v>0</v>
      </c>
      <c r="P75" s="42">
        <f>N75</f>
        <v>0</v>
      </c>
      <c r="Q75" s="43"/>
      <c r="R75" s="28"/>
      <c r="S75" s="4">
        <v>68</v>
      </c>
    </row>
    <row r="76" spans="1:19" s="4" customFormat="1" ht="9" customHeight="1"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68"/>
    </row>
    <row r="77" spans="1:19" s="4" customFormat="1">
      <c r="A77" s="72" t="s">
        <v>43</v>
      </c>
      <c r="B77" s="69"/>
      <c r="C77" s="41"/>
      <c r="R77" s="68"/>
    </row>
    <row r="78" spans="1:19" s="4" customFormat="1">
      <c r="A78" s="61" t="s">
        <v>31</v>
      </c>
      <c r="B78" s="12"/>
      <c r="C78" s="41"/>
      <c r="R78" s="68"/>
    </row>
    <row r="79" spans="1:19" s="4" customFormat="1">
      <c r="A79" s="84">
        <f>VLOOKUP(B7,E88:T99,2,FALSE)</f>
        <v>0</v>
      </c>
      <c r="B79" s="70"/>
      <c r="C79" s="41"/>
      <c r="R79" s="68"/>
    </row>
    <row r="80" spans="1:19" s="4" customFormat="1">
      <c r="A80" s="61" t="s">
        <v>40</v>
      </c>
      <c r="B80" s="12"/>
      <c r="C80" s="41"/>
      <c r="R80" s="68"/>
    </row>
    <row r="81" spans="1:20" s="4" customFormat="1">
      <c r="A81" s="84">
        <f>VLOOKUP(B7,E88:T99,6,FALSE)</f>
        <v>0</v>
      </c>
      <c r="B81" s="71"/>
      <c r="C81" s="41"/>
      <c r="R81" s="68"/>
    </row>
    <row r="82" spans="1:20" s="4" customFormat="1">
      <c r="A82" s="61" t="s">
        <v>44</v>
      </c>
      <c r="B82" s="12"/>
      <c r="C82" s="41"/>
      <c r="R82" s="68"/>
    </row>
    <row r="83" spans="1:20" s="4" customFormat="1" ht="15" customHeight="1">
      <c r="A83" s="84">
        <f>VLOOKUP(B7,E88:T99,10,FALSE)</f>
        <v>0</v>
      </c>
      <c r="B83" s="73"/>
      <c r="C83" s="41"/>
      <c r="R83" s="68"/>
    </row>
    <row r="84" spans="1:20">
      <c r="A84" s="61" t="s">
        <v>61</v>
      </c>
    </row>
    <row r="85" spans="1:20">
      <c r="A85" s="84">
        <f>VLOOKUP(B7,E88:T99,14,FALSE)</f>
        <v>0</v>
      </c>
      <c r="D85" s="172" t="s">
        <v>42</v>
      </c>
      <c r="E85" s="172"/>
      <c r="F85" s="172"/>
      <c r="G85" s="172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20">
      <c r="A86" s="7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20">
      <c r="A87" s="70"/>
      <c r="D87" s="41"/>
      <c r="E87" s="3"/>
      <c r="F87" s="173" t="s">
        <v>31</v>
      </c>
      <c r="G87" s="173"/>
      <c r="H87" s="173"/>
      <c r="I87" s="173"/>
      <c r="J87" s="173" t="s">
        <v>40</v>
      </c>
      <c r="K87" s="173"/>
      <c r="L87" s="173"/>
      <c r="M87" s="173"/>
      <c r="N87" s="173" t="s">
        <v>41</v>
      </c>
      <c r="O87" s="173"/>
      <c r="P87" s="173"/>
      <c r="Q87" s="173"/>
      <c r="R87" s="173" t="s">
        <v>61</v>
      </c>
      <c r="S87" s="173"/>
      <c r="T87" s="173"/>
    </row>
    <row r="88" spans="1:20">
      <c r="D88" s="41"/>
      <c r="E88" s="14">
        <v>40909</v>
      </c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1" t="s">
        <v>148</v>
      </c>
      <c r="S88" s="171"/>
      <c r="T88" s="171"/>
    </row>
    <row r="89" spans="1:20">
      <c r="D89" s="41"/>
      <c r="E89" s="14">
        <v>40940</v>
      </c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1" t="s">
        <v>149</v>
      </c>
      <c r="S89" s="171"/>
      <c r="T89" s="171"/>
    </row>
    <row r="90" spans="1:20">
      <c r="D90" s="41"/>
      <c r="E90" s="14">
        <v>40969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1" t="s">
        <v>150</v>
      </c>
      <c r="S90" s="171"/>
      <c r="T90" s="171"/>
    </row>
    <row r="91" spans="1:20">
      <c r="D91" s="41"/>
      <c r="E91" s="14">
        <v>41000</v>
      </c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1"/>
      <c r="S91" s="171"/>
      <c r="T91" s="171"/>
    </row>
    <row r="92" spans="1:20">
      <c r="D92" s="41"/>
      <c r="E92" s="14">
        <v>41030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1"/>
      <c r="S92" s="171"/>
      <c r="T92" s="171"/>
    </row>
    <row r="93" spans="1:20">
      <c r="D93" s="41"/>
      <c r="E93" s="14">
        <v>41061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1"/>
      <c r="S93" s="171"/>
      <c r="T93" s="171"/>
    </row>
    <row r="94" spans="1:20">
      <c r="D94" s="41"/>
      <c r="E94" s="14">
        <v>41091</v>
      </c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1"/>
      <c r="S94" s="171"/>
      <c r="T94" s="171"/>
    </row>
    <row r="95" spans="1:20">
      <c r="D95" s="41"/>
      <c r="E95" s="14">
        <v>41122</v>
      </c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1"/>
      <c r="S95" s="171"/>
      <c r="T95" s="171"/>
    </row>
    <row r="96" spans="1:20">
      <c r="D96" s="44"/>
      <c r="E96" s="14">
        <v>41153</v>
      </c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1"/>
      <c r="S96" s="171"/>
      <c r="T96" s="171"/>
    </row>
    <row r="97" spans="4:20">
      <c r="D97" s="44"/>
      <c r="E97" s="14">
        <v>41183</v>
      </c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1"/>
      <c r="S97" s="171"/>
      <c r="T97" s="171"/>
    </row>
    <row r="98" spans="4:20">
      <c r="D98" s="44"/>
      <c r="E98" s="14">
        <v>41214</v>
      </c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1"/>
      <c r="S98" s="171"/>
      <c r="T98" s="171"/>
    </row>
    <row r="99" spans="4:20">
      <c r="D99" s="44"/>
      <c r="E99" s="14">
        <v>41244</v>
      </c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1"/>
      <c r="S99" s="171"/>
      <c r="T99" s="171"/>
    </row>
  </sheetData>
  <mergeCells count="54">
    <mergeCell ref="F98:I98"/>
    <mergeCell ref="J98:M98"/>
    <mergeCell ref="N98:Q98"/>
    <mergeCell ref="R98:T98"/>
    <mergeCell ref="F99:I99"/>
    <mergeCell ref="J99:M99"/>
    <mergeCell ref="N99:Q99"/>
    <mergeCell ref="R99:T99"/>
    <mergeCell ref="F96:I96"/>
    <mergeCell ref="J96:M96"/>
    <mergeCell ref="N96:Q96"/>
    <mergeCell ref="R96:T96"/>
    <mergeCell ref="F97:I97"/>
    <mergeCell ref="J97:M97"/>
    <mergeCell ref="N97:Q97"/>
    <mergeCell ref="R97:T97"/>
    <mergeCell ref="F94:I94"/>
    <mergeCell ref="J94:M94"/>
    <mergeCell ref="N94:Q94"/>
    <mergeCell ref="R94:T94"/>
    <mergeCell ref="F95:I95"/>
    <mergeCell ref="J95:M95"/>
    <mergeCell ref="N95:Q95"/>
    <mergeCell ref="R95:T95"/>
    <mergeCell ref="F92:I92"/>
    <mergeCell ref="J92:M92"/>
    <mergeCell ref="N92:Q92"/>
    <mergeCell ref="R92:T92"/>
    <mergeCell ref="F93:I93"/>
    <mergeCell ref="J93:M93"/>
    <mergeCell ref="N93:Q93"/>
    <mergeCell ref="R93:T93"/>
    <mergeCell ref="F90:I90"/>
    <mergeCell ref="J90:M90"/>
    <mergeCell ref="N90:Q90"/>
    <mergeCell ref="R90:T90"/>
    <mergeCell ref="F91:I91"/>
    <mergeCell ref="J91:M91"/>
    <mergeCell ref="N91:Q91"/>
    <mergeCell ref="R91:T91"/>
    <mergeCell ref="F88:I88"/>
    <mergeCell ref="J88:M88"/>
    <mergeCell ref="N88:Q88"/>
    <mergeCell ref="R88:T88"/>
    <mergeCell ref="F89:I89"/>
    <mergeCell ref="J89:M89"/>
    <mergeCell ref="N89:Q89"/>
    <mergeCell ref="R89:T89"/>
    <mergeCell ref="F87:I87"/>
    <mergeCell ref="J87:M87"/>
    <mergeCell ref="N87:Q87"/>
    <mergeCell ref="R87:T87"/>
    <mergeCell ref="D1:F1"/>
    <mergeCell ref="D85:G85"/>
  </mergeCells>
  <dataValidations count="1">
    <dataValidation type="list" showInputMessage="1" showErrorMessage="1" sqref="B7">
      <formula1>$F$8:$Q$8</formula1>
    </dataValidation>
  </dataValidations>
  <pageMargins left="0.5" right="0.5" top="0.25" bottom="0.25" header="0.5" footer="0.5"/>
  <pageSetup scale="99" orientation="portrait" r:id="rId1"/>
  <headerFooter alignWithMargins="0"/>
  <rowBreaks count="1" manualBreakCount="1">
    <brk id="64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SBDI</vt:lpstr>
      <vt:lpstr>HVAC Electric</vt:lpstr>
      <vt:lpstr>HVAC Gas</vt:lpstr>
      <vt:lpstr>Residential Direct Install</vt:lpstr>
      <vt:lpstr>Appliance Bounty</vt:lpstr>
      <vt:lpstr>Room AC</vt:lpstr>
      <vt:lpstr>CI Electric Rebate</vt:lpstr>
      <vt:lpstr>CI Electric Custom</vt:lpstr>
      <vt:lpstr>CI Gas Rebate</vt:lpstr>
      <vt:lpstr>CI Gas Custom</vt:lpstr>
      <vt:lpstr>MF Electric</vt:lpstr>
      <vt:lpstr>MF Gas</vt:lpstr>
      <vt:lpstr>MFLI</vt:lpstr>
      <vt:lpstr>'Appliance Bounty'!Print_Area</vt:lpstr>
      <vt:lpstr>'CI Electric Rebate'!Print_Area</vt:lpstr>
      <vt:lpstr>'CI Gas Rebate'!Print_Area</vt:lpstr>
      <vt:lpstr>'HVAC Electric'!Print_Area</vt:lpstr>
      <vt:lpstr>'HVAC Gas'!Print_Area</vt:lpstr>
      <vt:lpstr>'MF Electric'!Print_Area</vt:lpstr>
      <vt:lpstr>'MF Gas'!Print_Area</vt:lpstr>
      <vt:lpstr>MFLI!Print_Area</vt:lpstr>
      <vt:lpstr>'Residential Direct Install'!Print_Area</vt:lpstr>
      <vt:lpstr>'Room AC'!Print_Area</vt:lpstr>
      <vt:lpstr>SBDI!Print_Area</vt:lpstr>
    </vt:vector>
  </TitlesOfParts>
  <Company>NYSDPS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Mammen</dc:creator>
  <cp:lastModifiedBy>Puckartc</cp:lastModifiedBy>
  <cp:lastPrinted>2012-04-27T20:45:55Z</cp:lastPrinted>
  <dcterms:created xsi:type="dcterms:W3CDTF">2011-12-01T17:55:02Z</dcterms:created>
  <dcterms:modified xsi:type="dcterms:W3CDTF">2012-06-01T15:52:24Z</dcterms:modified>
</cp:coreProperties>
</file>