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95" windowWidth="18960" windowHeight="11775" firstSheet="2" activeTab="6"/>
  </bookViews>
  <sheets>
    <sheet name="ASSESSMENT" sheetId="1" r:id="rId1"/>
    <sheet name="JULY 1 2014 TSA RATE" sheetId="7" r:id="rId2"/>
    <sheet name="Rate Calculation" sheetId="3" r:id="rId3"/>
    <sheet name="ESCO Revenue" sheetId="2" r:id="rId4"/>
    <sheet name="TSA $ Collected" sheetId="5" r:id="rId5"/>
    <sheet name="Carrying Charges" sheetId="4" r:id="rId6"/>
    <sheet name="TSA Payments-collections" sheetId="6" r:id="rId7"/>
    <sheet name="Proforma 2014-2015" sheetId="8" r:id="rId8"/>
    <sheet name="Review requests" sheetId="10" r:id="rId9"/>
  </sheets>
  <calcPr calcId="125725"/>
</workbook>
</file>

<file path=xl/calcChain.xml><?xml version="1.0" encoding="utf-8"?>
<calcChain xmlns="http://schemas.openxmlformats.org/spreadsheetml/2006/main">
  <c r="N82" i="4"/>
  <c r="M18"/>
  <c r="P27" i="8"/>
  <c r="I27"/>
  <c r="B27"/>
  <c r="F33" i="1"/>
  <c r="F39"/>
  <c r="H10" i="2"/>
  <c r="E12" i="4"/>
  <c r="H71" i="6"/>
  <c r="L66"/>
  <c r="L59"/>
  <c r="L47"/>
  <c r="L36"/>
  <c r="L23"/>
  <c r="L11"/>
  <c r="L15" i="7"/>
  <c r="A4"/>
  <c r="A2"/>
  <c r="E69" i="6"/>
  <c r="E71"/>
  <c r="B69"/>
  <c r="B71"/>
  <c r="D60"/>
  <c r="D61"/>
  <c r="D62"/>
  <c r="D63"/>
  <c r="D64"/>
  <c r="D65"/>
  <c r="D66"/>
  <c r="D67"/>
  <c r="D68"/>
  <c r="D69"/>
  <c r="H9" i="7" s="1"/>
  <c r="A60" i="6"/>
  <c r="A61"/>
  <c r="A62"/>
  <c r="A63"/>
  <c r="A64"/>
  <c r="A65"/>
  <c r="A66"/>
  <c r="A67"/>
  <c r="A68"/>
  <c r="A6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9"/>
  <c r="I47"/>
  <c r="I42"/>
  <c r="I36"/>
  <c r="I29"/>
  <c r="I23"/>
  <c r="I17"/>
  <c r="F47"/>
  <c r="F36"/>
  <c r="F29"/>
  <c r="F23"/>
  <c r="F17"/>
  <c r="C47"/>
  <c r="C36"/>
  <c r="C23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7"/>
  <c r="G8"/>
  <c r="G9"/>
  <c r="G10"/>
  <c r="G11"/>
  <c r="G12"/>
  <c r="G13"/>
  <c r="G14"/>
  <c r="G15"/>
  <c r="G16"/>
  <c r="G17"/>
  <c r="G18"/>
  <c r="G19"/>
  <c r="G20"/>
  <c r="G21"/>
  <c r="G22"/>
  <c r="G7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11"/>
  <c r="D9"/>
  <c r="D10"/>
  <c r="D8"/>
  <c r="D7"/>
  <c r="M82" i="4"/>
  <c r="E64" i="5"/>
  <c r="C71" i="4"/>
  <c r="E65" i="5"/>
  <c r="E66"/>
  <c r="E67"/>
  <c r="C74" i="4"/>
  <c r="D74" s="1"/>
  <c r="E68" i="5"/>
  <c r="E69"/>
  <c r="C76" i="4"/>
  <c r="D76"/>
  <c r="E70" i="5"/>
  <c r="C77" i="4"/>
  <c r="D77" s="1"/>
  <c r="E71" i="5"/>
  <c r="E72"/>
  <c r="C79" i="4"/>
  <c r="D79" s="1"/>
  <c r="E73" i="5"/>
  <c r="C80" i="4"/>
  <c r="C72"/>
  <c r="D72" s="1"/>
  <c r="C75"/>
  <c r="D75" s="1"/>
  <c r="E41" i="5"/>
  <c r="C48" i="4"/>
  <c r="D48"/>
  <c r="E42" i="5"/>
  <c r="E43"/>
  <c r="E44"/>
  <c r="C51" i="4"/>
  <c r="D51" s="1"/>
  <c r="E45" i="5"/>
  <c r="C52" i="4"/>
  <c r="D52"/>
  <c r="E46" i="5"/>
  <c r="E47"/>
  <c r="E48"/>
  <c r="E49"/>
  <c r="C56" i="4"/>
  <c r="D56"/>
  <c r="E50" i="5"/>
  <c r="C57" i="4"/>
  <c r="D57" s="1"/>
  <c r="E51" i="5"/>
  <c r="E52"/>
  <c r="E53"/>
  <c r="E54"/>
  <c r="C61" i="4"/>
  <c r="D61" s="1"/>
  <c r="E55" i="5"/>
  <c r="C62" i="4"/>
  <c r="D62"/>
  <c r="E56" i="5"/>
  <c r="E57"/>
  <c r="E58"/>
  <c r="C65" i="4"/>
  <c r="D65" s="1"/>
  <c r="E59" i="5"/>
  <c r="C66" i="4"/>
  <c r="D66"/>
  <c r="E60" i="5"/>
  <c r="C67" i="4"/>
  <c r="D67" s="1"/>
  <c r="E61" i="5"/>
  <c r="E62"/>
  <c r="E63"/>
  <c r="M30" i="4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27"/>
  <c r="M28"/>
  <c r="M29"/>
  <c r="M19"/>
  <c r="M20"/>
  <c r="M21"/>
  <c r="M22"/>
  <c r="M23"/>
  <c r="M24"/>
  <c r="M25"/>
  <c r="M26"/>
  <c r="C74" i="5"/>
  <c r="C73" i="4"/>
  <c r="D73" s="1"/>
  <c r="C70"/>
  <c r="D70" s="1"/>
  <c r="C69"/>
  <c r="D69" s="1"/>
  <c r="C68"/>
  <c r="D68" s="1"/>
  <c r="C64"/>
  <c r="D64" s="1"/>
  <c r="C63"/>
  <c r="D63" s="1"/>
  <c r="C60"/>
  <c r="D60" s="1"/>
  <c r="C59"/>
  <c r="D59" s="1"/>
  <c r="C58"/>
  <c r="D58" s="1"/>
  <c r="C55"/>
  <c r="D55" s="1"/>
  <c r="C54"/>
  <c r="D54" s="1"/>
  <c r="C53"/>
  <c r="D53" s="1"/>
  <c r="C50"/>
  <c r="D50" s="1"/>
  <c r="C49"/>
  <c r="D49" s="1"/>
  <c r="C47"/>
  <c r="D47" s="1"/>
  <c r="C46"/>
  <c r="D46" s="1"/>
  <c r="C45"/>
  <c r="D45" s="1"/>
  <c r="C44"/>
  <c r="D44" s="1"/>
  <c r="C43"/>
  <c r="D43" s="1"/>
  <c r="C42"/>
  <c r="D42" s="1"/>
  <c r="C41"/>
  <c r="D41"/>
  <c r="C40"/>
  <c r="C39"/>
  <c r="D39" s="1"/>
  <c r="C38"/>
  <c r="D38" s="1"/>
  <c r="C37"/>
  <c r="D37" s="1"/>
  <c r="C36"/>
  <c r="D36" s="1"/>
  <c r="C35"/>
  <c r="C34"/>
  <c r="D34"/>
  <c r="C33"/>
  <c r="F5"/>
  <c r="C32"/>
  <c r="D32"/>
  <c r="C31"/>
  <c r="D31"/>
  <c r="C30"/>
  <c r="D30"/>
  <c r="C29"/>
  <c r="D29"/>
  <c r="C28"/>
  <c r="D28"/>
  <c r="C27"/>
  <c r="D27"/>
  <c r="C26"/>
  <c r="D26"/>
  <c r="C25"/>
  <c r="D25"/>
  <c r="C24"/>
  <c r="C23"/>
  <c r="D23" s="1"/>
  <c r="C22"/>
  <c r="C21"/>
  <c r="E5" s="1"/>
  <c r="C20"/>
  <c r="D20" s="1"/>
  <c r="I12" s="1"/>
  <c r="C19"/>
  <c r="C18"/>
  <c r="A77"/>
  <c r="A78"/>
  <c r="A79"/>
  <c r="A80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2"/>
  <c r="A43"/>
  <c r="A44"/>
  <c r="A45"/>
  <c r="A46"/>
  <c r="A47"/>
  <c r="A48"/>
  <c r="A49"/>
  <c r="A50"/>
  <c r="A51"/>
  <c r="A52"/>
  <c r="A53"/>
  <c r="A54"/>
  <c r="A55"/>
  <c r="A41"/>
  <c r="C78"/>
  <c r="D78" s="1"/>
  <c r="E40" i="5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30" i="4"/>
  <c r="A31"/>
  <c r="A32"/>
  <c r="A33"/>
  <c r="A34"/>
  <c r="A35"/>
  <c r="A36"/>
  <c r="A37"/>
  <c r="A38"/>
  <c r="A39"/>
  <c r="A40"/>
  <c r="A12" i="5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" i="2"/>
  <c r="A1"/>
  <c r="A3" i="4"/>
  <c r="A1"/>
  <c r="A1" i="5"/>
  <c r="A19" i="4"/>
  <c r="A20"/>
  <c r="A21"/>
  <c r="A22"/>
  <c r="A23"/>
  <c r="A24"/>
  <c r="A25"/>
  <c r="A26"/>
  <c r="A27"/>
  <c r="A28"/>
  <c r="A29"/>
  <c r="H15" i="3"/>
  <c r="D23" i="2"/>
  <c r="F21" i="1"/>
  <c r="H21" i="2"/>
  <c r="H20"/>
  <c r="H19"/>
  <c r="H18"/>
  <c r="H17"/>
  <c r="H16"/>
  <c r="H15"/>
  <c r="H14"/>
  <c r="H13"/>
  <c r="H12"/>
  <c r="H11"/>
  <c r="F23"/>
  <c r="F20" i="1"/>
  <c r="A4" i="3"/>
  <c r="A2"/>
  <c r="F13" i="1"/>
  <c r="F7"/>
  <c r="F15" s="1"/>
  <c r="F24" s="1"/>
  <c r="E14" i="5"/>
  <c r="E11"/>
  <c r="D24" i="4"/>
  <c r="E13" i="5"/>
  <c r="E12"/>
  <c r="D19" i="4"/>
  <c r="D35"/>
  <c r="D40"/>
  <c r="D22"/>
  <c r="D21"/>
  <c r="D33"/>
  <c r="D18"/>
  <c r="F18" s="1"/>
  <c r="B74" i="5"/>
  <c r="D74"/>
  <c r="H5" i="4"/>
  <c r="G5"/>
  <c r="D71"/>
  <c r="J36" i="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H11" i="7"/>
  <c r="G23" i="6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H10" i="7" s="1"/>
  <c r="F35" i="1"/>
  <c r="D80" i="4"/>
  <c r="I5"/>
  <c r="C82"/>
  <c r="E74" i="5"/>
  <c r="E82" i="4"/>
  <c r="L71" i="6"/>
  <c r="H23" i="2"/>
  <c r="F22" i="1"/>
  <c r="B12" i="3"/>
  <c r="B15" s="1"/>
  <c r="D9" s="1"/>
  <c r="B12" i="7"/>
  <c r="B15" s="1"/>
  <c r="D9" s="1"/>
  <c r="D10" i="3"/>
  <c r="F10" s="1"/>
  <c r="J10"/>
  <c r="F9"/>
  <c r="J9"/>
  <c r="F9" i="7" l="1"/>
  <c r="K5" i="4"/>
  <c r="D10" i="7"/>
  <c r="F10" s="1"/>
  <c r="D11"/>
  <c r="F11" s="1"/>
  <c r="G18" i="4"/>
  <c r="H18" s="1"/>
  <c r="I18" s="1"/>
  <c r="D11" i="3"/>
  <c r="F11" s="1"/>
  <c r="J11" s="1"/>
  <c r="D82" i="4"/>
  <c r="K18" l="1"/>
  <c r="B19" s="1"/>
  <c r="F19" s="1"/>
  <c r="F15" i="3"/>
  <c r="D15"/>
  <c r="D15" i="7"/>
  <c r="F15"/>
  <c r="G19" i="4" l="1"/>
  <c r="H19" s="1"/>
  <c r="I19" s="1"/>
  <c r="K19" l="1"/>
  <c r="B20" s="1"/>
  <c r="F20" s="1"/>
  <c r="G20" l="1"/>
  <c r="H20" s="1"/>
  <c r="I20" s="1"/>
  <c r="K20" l="1"/>
  <c r="B21" s="1"/>
  <c r="F21" s="1"/>
  <c r="G21" l="1"/>
  <c r="H21" s="1"/>
  <c r="I21" s="1"/>
  <c r="K21" l="1"/>
  <c r="B22" s="1"/>
  <c r="F22" s="1"/>
  <c r="G22" l="1"/>
  <c r="H22" s="1"/>
  <c r="I22" s="1"/>
  <c r="K22" l="1"/>
  <c r="B23" s="1"/>
  <c r="F23" s="1"/>
  <c r="G23" l="1"/>
  <c r="H23"/>
  <c r="I23" s="1"/>
  <c r="K23" s="1"/>
  <c r="B24" s="1"/>
  <c r="F24" s="1"/>
  <c r="G24" l="1"/>
  <c r="H24" s="1"/>
  <c r="I24" s="1"/>
  <c r="K24" s="1"/>
  <c r="B25" s="1"/>
  <c r="F25" s="1"/>
  <c r="G25" l="1"/>
  <c r="H25" s="1"/>
  <c r="I25" s="1"/>
  <c r="K25" s="1"/>
  <c r="B26" s="1"/>
  <c r="F26" s="1"/>
  <c r="G26" l="1"/>
  <c r="H26" s="1"/>
  <c r="I26" s="1"/>
  <c r="K26" s="1"/>
  <c r="B27" s="1"/>
  <c r="F27" s="1"/>
  <c r="G27" l="1"/>
  <c r="H27" s="1"/>
  <c r="I27" s="1"/>
  <c r="K27" s="1"/>
  <c r="B28" s="1"/>
  <c r="F28" s="1"/>
  <c r="G28" l="1"/>
  <c r="H28" s="1"/>
  <c r="I28" s="1"/>
  <c r="K28" s="1"/>
  <c r="B29" s="1"/>
  <c r="F29" s="1"/>
  <c r="G29" l="1"/>
  <c r="H29" s="1"/>
  <c r="I29" s="1"/>
  <c r="K29" s="1"/>
  <c r="B30" s="1"/>
  <c r="F30" s="1"/>
  <c r="G30" l="1"/>
  <c r="H30" s="1"/>
  <c r="I30" s="1"/>
  <c r="K30" s="1"/>
  <c r="B31" s="1"/>
  <c r="F31" s="1"/>
  <c r="G31" l="1"/>
  <c r="H31" s="1"/>
  <c r="I31" s="1"/>
  <c r="K31" s="1"/>
  <c r="B32" s="1"/>
  <c r="F32" s="1"/>
  <c r="G32" l="1"/>
  <c r="H32" s="1"/>
  <c r="I32" s="1"/>
  <c r="E6" l="1"/>
  <c r="K32"/>
  <c r="B33" s="1"/>
  <c r="F33" s="1"/>
  <c r="E7" l="1"/>
  <c r="H33"/>
  <c r="I33" s="1"/>
  <c r="G33"/>
  <c r="K33" l="1"/>
  <c r="B34" s="1"/>
  <c r="F34" s="1"/>
  <c r="G34" l="1"/>
  <c r="H34" s="1"/>
  <c r="I34" s="1"/>
  <c r="K34" l="1"/>
  <c r="B35" s="1"/>
  <c r="F35" s="1"/>
  <c r="G35" l="1"/>
  <c r="H35" s="1"/>
  <c r="I35" s="1"/>
  <c r="K35" s="1"/>
  <c r="B36" s="1"/>
  <c r="F36" s="1"/>
  <c r="G36" l="1"/>
  <c r="H36" s="1"/>
  <c r="I36" s="1"/>
  <c r="K36" s="1"/>
  <c r="B37" s="1"/>
  <c r="F37" s="1"/>
  <c r="G37" l="1"/>
  <c r="H37" s="1"/>
  <c r="I37" s="1"/>
  <c r="K37" s="1"/>
  <c r="B38" s="1"/>
  <c r="F38" s="1"/>
  <c r="G38" l="1"/>
  <c r="H38" s="1"/>
  <c r="I38" s="1"/>
  <c r="K38" s="1"/>
  <c r="B39" s="1"/>
  <c r="F39" s="1"/>
  <c r="G39" l="1"/>
  <c r="H39" s="1"/>
  <c r="I39" s="1"/>
  <c r="K39" s="1"/>
  <c r="B40" s="1"/>
  <c r="F40" s="1"/>
  <c r="G40" l="1"/>
  <c r="H40" s="1"/>
  <c r="I40" s="1"/>
  <c r="K40" s="1"/>
  <c r="B41" s="1"/>
  <c r="F41" s="1"/>
  <c r="G41" l="1"/>
  <c r="H41" s="1"/>
  <c r="I41" s="1"/>
  <c r="K41" s="1"/>
  <c r="B42" s="1"/>
  <c r="F42" s="1"/>
  <c r="G42" l="1"/>
  <c r="H42" s="1"/>
  <c r="I42" s="1"/>
  <c r="K42" s="1"/>
  <c r="B43" s="1"/>
  <c r="F43" s="1"/>
  <c r="G43" l="1"/>
  <c r="H43" s="1"/>
  <c r="I43" s="1"/>
  <c r="K43" s="1"/>
  <c r="B44" s="1"/>
  <c r="F44" s="1"/>
  <c r="G44" l="1"/>
  <c r="H44" s="1"/>
  <c r="I44" s="1"/>
  <c r="F6" l="1"/>
  <c r="K44"/>
  <c r="B45" s="1"/>
  <c r="F45" s="1"/>
  <c r="F7" l="1"/>
  <c r="G45"/>
  <c r="H45" s="1"/>
  <c r="I45" s="1"/>
  <c r="K45" l="1"/>
  <c r="B46" s="1"/>
  <c r="F46" s="1"/>
  <c r="G46" l="1"/>
  <c r="H46" s="1"/>
  <c r="I46" s="1"/>
  <c r="K46" l="1"/>
  <c r="B47" s="1"/>
  <c r="F47" s="1"/>
  <c r="G47" l="1"/>
  <c r="H47" s="1"/>
  <c r="I47" s="1"/>
  <c r="K47" l="1"/>
  <c r="B48" s="1"/>
  <c r="F48" s="1"/>
  <c r="G48" l="1"/>
  <c r="H48" s="1"/>
  <c r="I48" s="1"/>
  <c r="K48" s="1"/>
  <c r="B49" s="1"/>
  <c r="F49" s="1"/>
  <c r="G49" l="1"/>
  <c r="H49" s="1"/>
  <c r="I49" s="1"/>
  <c r="K49" s="1"/>
  <c r="B50" s="1"/>
  <c r="F50" s="1"/>
  <c r="G50" l="1"/>
  <c r="H50" s="1"/>
  <c r="I50" s="1"/>
  <c r="K50" s="1"/>
  <c r="B51" s="1"/>
  <c r="F51" s="1"/>
  <c r="G51" l="1"/>
  <c r="H51" s="1"/>
  <c r="I51" s="1"/>
  <c r="K51" s="1"/>
  <c r="B52" s="1"/>
  <c r="F52" s="1"/>
  <c r="G52" l="1"/>
  <c r="H52" s="1"/>
  <c r="I52" s="1"/>
  <c r="K52" s="1"/>
  <c r="B53" s="1"/>
  <c r="F53" s="1"/>
  <c r="G53" l="1"/>
  <c r="H53" s="1"/>
  <c r="I53" s="1"/>
  <c r="K53" s="1"/>
  <c r="B54" s="1"/>
  <c r="F54" s="1"/>
  <c r="G54" l="1"/>
  <c r="H54" s="1"/>
  <c r="I54" s="1"/>
  <c r="K54" s="1"/>
  <c r="B55" s="1"/>
  <c r="F55" s="1"/>
  <c r="G55" l="1"/>
  <c r="H55" s="1"/>
  <c r="I55" s="1"/>
  <c r="K55" s="1"/>
  <c r="B56" s="1"/>
  <c r="F56" s="1"/>
  <c r="G56" l="1"/>
  <c r="H56" s="1"/>
  <c r="I56" s="1"/>
  <c r="G6" l="1"/>
  <c r="K56"/>
  <c r="B57" s="1"/>
  <c r="F57" s="1"/>
  <c r="G7" l="1"/>
  <c r="H57"/>
  <c r="I57" s="1"/>
  <c r="G57"/>
  <c r="K57" l="1"/>
  <c r="B58" s="1"/>
  <c r="F58" s="1"/>
  <c r="G58" l="1"/>
  <c r="H58" s="1"/>
  <c r="I58" s="1"/>
  <c r="K58" l="1"/>
  <c r="B59" s="1"/>
  <c r="F59" s="1"/>
  <c r="G59" l="1"/>
  <c r="H59" s="1"/>
  <c r="I59" s="1"/>
  <c r="K59" s="1"/>
  <c r="B60" s="1"/>
  <c r="F60" s="1"/>
  <c r="G60" l="1"/>
  <c r="H60"/>
  <c r="I60" s="1"/>
  <c r="K60" s="1"/>
  <c r="B61" s="1"/>
  <c r="F61" s="1"/>
  <c r="G61" l="1"/>
  <c r="H61" s="1"/>
  <c r="I61" s="1"/>
  <c r="K61" s="1"/>
  <c r="B62" s="1"/>
  <c r="F62" s="1"/>
  <c r="G62" l="1"/>
  <c r="H62" s="1"/>
  <c r="I62" s="1"/>
  <c r="K62" s="1"/>
  <c r="B63" s="1"/>
  <c r="F63" s="1"/>
  <c r="G63" l="1"/>
  <c r="H63" s="1"/>
  <c r="I63" s="1"/>
  <c r="K63" s="1"/>
  <c r="B64" s="1"/>
  <c r="F64" s="1"/>
  <c r="G64" l="1"/>
  <c r="H64" s="1"/>
  <c r="I64" s="1"/>
  <c r="K64" s="1"/>
  <c r="B65" s="1"/>
  <c r="F65" s="1"/>
  <c r="G65" l="1"/>
  <c r="H65" s="1"/>
  <c r="I65" s="1"/>
  <c r="K65" s="1"/>
  <c r="B66" s="1"/>
  <c r="F66" s="1"/>
  <c r="G66" l="1"/>
  <c r="H66" s="1"/>
  <c r="I66" s="1"/>
  <c r="K66" s="1"/>
  <c r="B67" s="1"/>
  <c r="F67" s="1"/>
  <c r="G67" l="1"/>
  <c r="H67" s="1"/>
  <c r="I67" s="1"/>
  <c r="K67" s="1"/>
  <c r="B68" s="1"/>
  <c r="F68" s="1"/>
  <c r="G68" l="1"/>
  <c r="H68" s="1"/>
  <c r="I68" s="1"/>
  <c r="H6" l="1"/>
  <c r="K68"/>
  <c r="B69" s="1"/>
  <c r="F69" s="1"/>
  <c r="H7" l="1"/>
  <c r="G69"/>
  <c r="H69" s="1"/>
  <c r="I69" s="1"/>
  <c r="K69" l="1"/>
  <c r="B70" s="1"/>
  <c r="F70" s="1"/>
  <c r="G70" l="1"/>
  <c r="H70" s="1"/>
  <c r="I70" s="1"/>
  <c r="K70" l="1"/>
  <c r="B71" s="1"/>
  <c r="F71" s="1"/>
  <c r="G71" l="1"/>
  <c r="H71" s="1"/>
  <c r="I71" s="1"/>
  <c r="K71" l="1"/>
  <c r="B72" s="1"/>
  <c r="F72" s="1"/>
  <c r="G72" l="1"/>
  <c r="H72" s="1"/>
  <c r="I72" s="1"/>
  <c r="K72" s="1"/>
  <c r="B73" s="1"/>
  <c r="F73" s="1"/>
  <c r="G73" l="1"/>
  <c r="H73" s="1"/>
  <c r="I73" s="1"/>
  <c r="K73" s="1"/>
  <c r="B74" s="1"/>
  <c r="F74" s="1"/>
  <c r="G74" l="1"/>
  <c r="H74" s="1"/>
  <c r="I74" s="1"/>
  <c r="K74" s="1"/>
  <c r="B75" s="1"/>
  <c r="F75" s="1"/>
  <c r="G75" l="1"/>
  <c r="H75" s="1"/>
  <c r="I75" s="1"/>
  <c r="K75" s="1"/>
  <c r="B76" s="1"/>
  <c r="F76" s="1"/>
  <c r="G76" l="1"/>
  <c r="H76" s="1"/>
  <c r="I76" s="1"/>
  <c r="K76" s="1"/>
  <c r="B77" s="1"/>
  <c r="F77" s="1"/>
  <c r="G77" l="1"/>
  <c r="H77" s="1"/>
  <c r="I77" s="1"/>
  <c r="K77" s="1"/>
  <c r="B78" s="1"/>
  <c r="F78" s="1"/>
  <c r="G78" l="1"/>
  <c r="H78" s="1"/>
  <c r="I78" s="1"/>
  <c r="K78" s="1"/>
  <c r="B79" s="1"/>
  <c r="F79" s="1"/>
  <c r="G79" l="1"/>
  <c r="H79" s="1"/>
  <c r="I79" s="1"/>
  <c r="K79" s="1"/>
  <c r="B80" s="1"/>
  <c r="F80" s="1"/>
  <c r="G80" l="1"/>
  <c r="H80"/>
  <c r="I80" s="1"/>
  <c r="K80" s="1"/>
  <c r="I82" l="1"/>
  <c r="I15" i="7" s="1"/>
  <c r="I13" i="4"/>
  <c r="I6"/>
  <c r="I11" i="7" l="1"/>
  <c r="J11" s="1"/>
  <c r="I9"/>
  <c r="J9" s="1"/>
  <c r="I10"/>
  <c r="J10" s="1"/>
  <c r="I7" i="4"/>
  <c r="K6"/>
  <c r="K7" s="1"/>
  <c r="N10" i="7" l="1"/>
  <c r="J14" i="8" s="1"/>
  <c r="M10"/>
  <c r="N11" i="7"/>
  <c r="Q14" i="8" s="1"/>
  <c r="T10"/>
  <c r="N9" i="7"/>
  <c r="C14" i="8" s="1"/>
  <c r="F10"/>
  <c r="D14" l="1"/>
  <c r="C15"/>
  <c r="Q15"/>
  <c r="R14"/>
  <c r="J15"/>
  <c r="K14"/>
  <c r="F14"/>
  <c r="T14"/>
  <c r="M14"/>
  <c r="K15" l="1"/>
  <c r="J16"/>
  <c r="R15"/>
  <c r="Q16"/>
  <c r="M15"/>
  <c r="D15"/>
  <c r="C16"/>
  <c r="F15"/>
  <c r="T15"/>
  <c r="M16" l="1"/>
  <c r="D16"/>
  <c r="F16" s="1"/>
  <c r="C17"/>
  <c r="R16"/>
  <c r="Q17"/>
  <c r="K16"/>
  <c r="J17"/>
  <c r="T16"/>
  <c r="F17" l="1"/>
  <c r="Q18"/>
  <c r="R17"/>
  <c r="D17"/>
  <c r="C18"/>
  <c r="J18"/>
  <c r="K17"/>
  <c r="M17" s="1"/>
  <c r="T17"/>
  <c r="M18" l="1"/>
  <c r="K18"/>
  <c r="J19"/>
  <c r="D18"/>
  <c r="C19"/>
  <c r="F18"/>
  <c r="Q19"/>
  <c r="R18"/>
  <c r="T18"/>
  <c r="R19" l="1"/>
  <c r="Q20"/>
  <c r="D19"/>
  <c r="C20"/>
  <c r="J20"/>
  <c r="K19"/>
  <c r="T19"/>
  <c r="M19"/>
  <c r="F19"/>
  <c r="K20" l="1"/>
  <c r="J21"/>
  <c r="T20"/>
  <c r="C21"/>
  <c r="D20"/>
  <c r="F20" s="1"/>
  <c r="R20"/>
  <c r="Q21"/>
  <c r="M20"/>
  <c r="T21" l="1"/>
  <c r="R21"/>
  <c r="Q22"/>
  <c r="C22"/>
  <c r="D21"/>
  <c r="F21" s="1"/>
  <c r="K21"/>
  <c r="M21" s="1"/>
  <c r="J22"/>
  <c r="T22" l="1"/>
  <c r="J23"/>
  <c r="K22"/>
  <c r="M22" s="1"/>
  <c r="R22"/>
  <c r="Q23"/>
  <c r="D22"/>
  <c r="F22" s="1"/>
  <c r="C23"/>
  <c r="Q24" l="1"/>
  <c r="R23"/>
  <c r="C24"/>
  <c r="D23"/>
  <c r="F23" s="1"/>
  <c r="K23"/>
  <c r="M23" s="1"/>
  <c r="J24"/>
  <c r="T23"/>
  <c r="D24" l="1"/>
  <c r="F24" s="1"/>
  <c r="F25" s="1"/>
  <c r="C25"/>
  <c r="D25" s="1"/>
  <c r="Q25"/>
  <c r="R25" s="1"/>
  <c r="R27" s="1"/>
  <c r="R24"/>
  <c r="T24" s="1"/>
  <c r="T25" s="1"/>
  <c r="K24"/>
  <c r="M24" s="1"/>
  <c r="M25" s="1"/>
  <c r="J25"/>
  <c r="K25" s="1"/>
  <c r="K27" s="1"/>
  <c r="D27" l="1"/>
</calcChain>
</file>

<file path=xl/sharedStrings.xml><?xml version="1.0" encoding="utf-8"?>
<sst xmlns="http://schemas.openxmlformats.org/spreadsheetml/2006/main" count="255" uniqueCount="164">
  <si>
    <t>CASE 09-M-0311</t>
  </si>
  <si>
    <t>Valley Energy, Inc.</t>
  </si>
  <si>
    <t>Total Operating Revenue</t>
  </si>
  <si>
    <t>Adjustments:</t>
  </si>
  <si>
    <t>Sales for Resale</t>
  </si>
  <si>
    <t>Distribution Facilities</t>
  </si>
  <si>
    <t>Exempt Revenues per 18-a</t>
  </si>
  <si>
    <t>Total Adjustments</t>
  </si>
  <si>
    <t>Assessable Utility Gas Revenues</t>
  </si>
  <si>
    <t>ESCO Revenue Calculation:</t>
  </si>
  <si>
    <t>DTH Delivered for ESCOs</t>
  </si>
  <si>
    <t>Avg. Full Service Customer Commodity Cost/DTH</t>
  </si>
  <si>
    <t>Estimated ESCO Energy Revenues</t>
  </si>
  <si>
    <t>Total Gas Assessable Revenue Estimated</t>
  </si>
  <si>
    <t>Assessment Rate</t>
  </si>
  <si>
    <t xml:space="preserve">Estimated Combined General Assessment and </t>
  </si>
  <si>
    <t xml:space="preserve">    Temporary State Assessement Amount</t>
  </si>
  <si>
    <t xml:space="preserve"> </t>
  </si>
  <si>
    <t>Estimated Temporary State Assessment Surcharge Amount</t>
  </si>
  <si>
    <t>Month</t>
  </si>
  <si>
    <t>Rate</t>
  </si>
  <si>
    <t>Volumes</t>
  </si>
  <si>
    <t>Schedule 2</t>
  </si>
  <si>
    <t>Revenues by Class</t>
  </si>
  <si>
    <t>Residential/Commercial - SC1</t>
  </si>
  <si>
    <t>Interruptible - SC4</t>
  </si>
  <si>
    <t>in mcfs</t>
  </si>
  <si>
    <t>Estimated ESCO</t>
  </si>
  <si>
    <t>Revenue</t>
  </si>
  <si>
    <t>Schedule 3</t>
  </si>
  <si>
    <t xml:space="preserve">Estimated ESCO revenue </t>
  </si>
  <si>
    <t>Percentage</t>
  </si>
  <si>
    <t>Schedule 1</t>
  </si>
  <si>
    <t xml:space="preserve">Transporatation SC5 </t>
  </si>
  <si>
    <t>*</t>
  </si>
  <si>
    <t>* Calculation includes estimated ESCO Revenue</t>
  </si>
  <si>
    <t xml:space="preserve">Total Revenue billed </t>
  </si>
  <si>
    <t>including the estimated ESCO revenue</t>
  </si>
  <si>
    <t>of Total</t>
  </si>
  <si>
    <t>Assessment</t>
  </si>
  <si>
    <t>dollars</t>
  </si>
  <si>
    <t>by %</t>
  </si>
  <si>
    <t>billed in</t>
  </si>
  <si>
    <t>per</t>
  </si>
  <si>
    <t>MCF</t>
  </si>
  <si>
    <t>Add Uncollectable expense based on Case 04-G-0821 @ .02227</t>
  </si>
  <si>
    <t>Add Carrying Charges</t>
  </si>
  <si>
    <t>TOTAL</t>
  </si>
  <si>
    <t>7/1/09-6/30/10</t>
  </si>
  <si>
    <t>7/1/10-6/30/11</t>
  </si>
  <si>
    <t>7/1/11-6/30/12</t>
  </si>
  <si>
    <t>7/1/12-6/30/13</t>
  </si>
  <si>
    <t>7/1/13-6/30/14</t>
  </si>
  <si>
    <t>Total</t>
  </si>
  <si>
    <t xml:space="preserve">Revenue Collected </t>
  </si>
  <si>
    <t>Expense Incurred</t>
  </si>
  <si>
    <t>Pre-Tax ROR</t>
  </si>
  <si>
    <t>Total Uncollectible Expenses:</t>
  </si>
  <si>
    <t xml:space="preserve">Uncollectible </t>
  </si>
  <si>
    <t>Total Carrying Charges:</t>
  </si>
  <si>
    <t>Prior</t>
  </si>
  <si>
    <t>TSA</t>
  </si>
  <si>
    <t>interest</t>
  </si>
  <si>
    <t>Ending</t>
  </si>
  <si>
    <t>Balance</t>
  </si>
  <si>
    <t>Collected</t>
  </si>
  <si>
    <t>Uncollectible</t>
  </si>
  <si>
    <t>Payment</t>
  </si>
  <si>
    <t>Subtotal</t>
  </si>
  <si>
    <t>ADIT</t>
  </si>
  <si>
    <t>bearing</t>
  </si>
  <si>
    <t>Schedule 4</t>
  </si>
  <si>
    <t>Schedule 5</t>
  </si>
  <si>
    <t>Estimated</t>
  </si>
  <si>
    <t>Valley Energy of New York</t>
  </si>
  <si>
    <t>COMPUTATION OF FIVE YEAR RECONCILIATION OF TEMPORARY STATE ASSESSMENT</t>
  </si>
  <si>
    <t>APRIL 1, 2009 - JUNE 30, 2014</t>
  </si>
  <si>
    <t>SC5</t>
  </si>
  <si>
    <t>SC1</t>
  </si>
  <si>
    <t>Month/Year</t>
  </si>
  <si>
    <t>Interruptible</t>
  </si>
  <si>
    <t>Transport</t>
  </si>
  <si>
    <t>Residential &amp;</t>
  </si>
  <si>
    <t>Commercial</t>
  </si>
  <si>
    <t>PSC Assessment Per Rate Order</t>
  </si>
  <si>
    <t>PSC</t>
  </si>
  <si>
    <t>in base Rates</t>
  </si>
  <si>
    <t>Temporary State Assessment Dollars Collected</t>
  </si>
  <si>
    <t>SC4</t>
  </si>
  <si>
    <t>Credit SC1</t>
  </si>
  <si>
    <t>Debit SC1</t>
  </si>
  <si>
    <t>Gas Operation - Based on the Calendar Year 2013 Revenue</t>
  </si>
  <si>
    <t>Balances</t>
  </si>
  <si>
    <t>by</t>
  </si>
  <si>
    <t>Class</t>
  </si>
  <si>
    <t>Totals</t>
  </si>
  <si>
    <t xml:space="preserve">Transporatation- SC5 </t>
  </si>
  <si>
    <t>Uncoll Exp</t>
  </si>
  <si>
    <t>Carrying Chg</t>
  </si>
  <si>
    <t>by Class</t>
  </si>
  <si>
    <t>based on %</t>
  </si>
  <si>
    <t>Debit SC4</t>
  </si>
  <si>
    <t>Credit SC4</t>
  </si>
  <si>
    <t xml:space="preserve">NYS </t>
  </si>
  <si>
    <t>Debit SC5</t>
  </si>
  <si>
    <t>to NYS</t>
  </si>
  <si>
    <t>Assessment Notice Aug. 10, 2009</t>
  </si>
  <si>
    <t>&amp; Year</t>
  </si>
  <si>
    <t>Assessment Notice Aug. 10, 2010</t>
  </si>
  <si>
    <t>Transportion</t>
  </si>
  <si>
    <t>Customers</t>
  </si>
  <si>
    <t>Res/Comm</t>
  </si>
  <si>
    <t>Interr.</t>
  </si>
  <si>
    <t>Transp.</t>
  </si>
  <si>
    <t>Assessment Notice Aug. 10, 2011</t>
  </si>
  <si>
    <t>Assessment Notice Aug. 10, 2012</t>
  </si>
  <si>
    <t>TSA Collected</t>
  </si>
  <si>
    <t>TSA Payment</t>
  </si>
  <si>
    <t>Assessment Notice Aug. 10, 2014</t>
  </si>
  <si>
    <t>TSA collected</t>
  </si>
  <si>
    <t>1/2 of Assessment Notice Jan.31, 2014</t>
  </si>
  <si>
    <t>Temporary State Assessment Dollars Collected and Paid</t>
  </si>
  <si>
    <t>June 2014 estimated based on previous year.</t>
  </si>
  <si>
    <t xml:space="preserve"> (Case 04-G-0821 Appendix III, Schedule 1)</t>
  </si>
  <si>
    <t>Amount of 18-a Currently in Base Rates (Rate Case 04-G-0821)</t>
  </si>
  <si>
    <t>GAC</t>
  </si>
  <si>
    <t>Statement #</t>
  </si>
  <si>
    <t>Estimated Energy Service Company (ESCO) rate is the approved 2013 S.C. 4</t>
  </si>
  <si>
    <t>rate filed monthly and is based on the projected commodity cost of gas.</t>
  </si>
  <si>
    <t>Based on SC4 Gas Cost Rate for 2013</t>
  </si>
  <si>
    <t>(a)</t>
  </si>
  <si>
    <t>(b)</t>
  </si>
  <si>
    <t>(c)= (a) * (b)</t>
  </si>
  <si>
    <t>Sales</t>
  </si>
  <si>
    <t>(c)=(a)*(b)</t>
  </si>
  <si>
    <t>(d)</t>
  </si>
  <si>
    <t>Mcf</t>
  </si>
  <si>
    <t>(Refund) /</t>
  </si>
  <si>
    <t>Component</t>
  </si>
  <si>
    <t>Recoupment</t>
  </si>
  <si>
    <t>Beginning Balance</t>
  </si>
  <si>
    <t>Less Estimates :</t>
  </si>
  <si>
    <t>RESIDENTIAL/COMMERCIAL - SC1 RATE</t>
  </si>
  <si>
    <t>INTERRUPTIBLE - SC4 RATE</t>
  </si>
  <si>
    <t>Volumes is based on 2013 actuals.</t>
  </si>
  <si>
    <t>Schedule 6</t>
  </si>
  <si>
    <t>Schedule 7</t>
  </si>
  <si>
    <t>Schedule 8</t>
  </si>
  <si>
    <t>General/ERDA</t>
  </si>
  <si>
    <t xml:space="preserve"> Information Request</t>
  </si>
  <si>
    <t xml:space="preserve">1.  Provide on Schedules 6 and 7 </t>
  </si>
  <si>
    <t>2. Provide on Schedule 6</t>
  </si>
  <si>
    <t>3.  Valley bills its customer as a separate line item on the customers.  Revenue is recorded using accounts associated with the TSA by revenue type.</t>
  </si>
  <si>
    <t xml:space="preserve">      Payments are also book to the accounts associated with the TSA by review type.  Transaction detail is maintain by account.</t>
  </si>
  <si>
    <t>4. No internal audit has been performed.</t>
  </si>
  <si>
    <t>5. Provide on Schedule 6 and 7</t>
  </si>
  <si>
    <t>6. Provide on Schedule 6.  Uncollectable rate was used based on Rate Case 04-G-0821.</t>
  </si>
  <si>
    <t>7.  Provide on Schedule 6.  ROE rate was used based on Rate Case 04-G-0821.</t>
  </si>
  <si>
    <t xml:space="preserve">8. Provide on Schedule 4. </t>
  </si>
  <si>
    <t>9. Provide on Schedule 8.</t>
  </si>
  <si>
    <t>10.  Contact Information:      Marjorie Johnston</t>
  </si>
  <si>
    <t xml:space="preserve">                                                         Vice President/Treasurer</t>
  </si>
  <si>
    <t xml:space="preserve">                                                         email:  mjohnston@ctenterprises.org</t>
  </si>
  <si>
    <t xml:space="preserve">                                                         Phone # 570-888-9664 ext. 5227 or 570-888-4087</t>
  </si>
</sst>
</file>

<file path=xl/styles.xml><?xml version="1.0" encoding="utf-8"?>
<styleSheet xmlns="http://schemas.openxmlformats.org/spreadsheetml/2006/main">
  <numFmts count="2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  <numFmt numFmtId="166" formatCode="&quot;$&quot;#,##0.0000"/>
    <numFmt numFmtId="167" formatCode="&quot;$&quot;#,##0.0000_);[Red]\(&quot;$&quot;#,##0.0000\)"/>
    <numFmt numFmtId="168" formatCode="&quot;$&quot;#,##0.00"/>
    <numFmt numFmtId="169" formatCode="0.0000%"/>
    <numFmt numFmtId="170" formatCode="0.0000"/>
    <numFmt numFmtId="171" formatCode="[$-409]mmm\-yy;@"/>
    <numFmt numFmtId="173" formatCode="_(* #,##0_);_(* \(#,##0\);_(* &quot;-&quot;??_);_(@_)"/>
    <numFmt numFmtId="174" formatCode="_(&quot;$&quot;* #,##0_);_(&quot;$&quot;* \(#,##0\);_(&quot;$&quot;* &quot;-&quot;??_);_(@_)"/>
    <numFmt numFmtId="179" formatCode="&quot;$&quot;#,##0\ ;\(&quot;$&quot;#,##0\)"/>
    <numFmt numFmtId="180" formatCode="&quot;$&quot;#,##0.00\ ;\(&quot;$&quot;#,##0.00\)"/>
    <numFmt numFmtId="181" formatCode="&quot;$&quot;#,##0.0000\ ;\(&quot;$&quot;#,##0.0000\)"/>
    <numFmt numFmtId="182" formatCode="#,##0.0000_);\(#,##0.0000\)"/>
    <numFmt numFmtId="184" formatCode="General_)"/>
    <numFmt numFmtId="185" formatCode="#,##0.00000"/>
    <numFmt numFmtId="187" formatCode="#,##0.0"/>
    <numFmt numFmtId="189" formatCode="[$-409]mmmm\-yy;@"/>
    <numFmt numFmtId="191" formatCode="mm/dd/yy;@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6"/>
      <name val="Arial"/>
      <family val="2"/>
    </font>
    <font>
      <sz val="8"/>
      <name val="Arial"/>
      <family val="2"/>
    </font>
    <font>
      <b/>
      <i/>
      <sz val="14"/>
      <color indexed="12"/>
      <name val="Helv"/>
    </font>
    <font>
      <sz val="12"/>
      <name val="Helv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11"/>
      <color theme="1"/>
      <name val="Cambria"/>
      <family val="1"/>
      <scheme val="maj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1" fillId="0" borderId="0" applyFont="0" applyFill="0" applyBorder="0" applyAlignment="0" applyProtection="0"/>
    <xf numFmtId="180" fontId="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84" fontId="28" fillId="22" borderId="3" applyNumberFormat="0" applyFont="0" applyBorder="0" applyAlignment="0" applyProtection="0">
      <alignment horizontal="centerContinuous"/>
    </xf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2" fillId="2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" fillId="0" borderId="0"/>
    <xf numFmtId="0" fontId="3" fillId="24" borderId="8" applyNumberFormat="0" applyFont="0" applyAlignment="0" applyProtection="0"/>
    <xf numFmtId="0" fontId="14" fillId="20" borderId="9" applyNumberFormat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10">
      <alignment horizontal="center"/>
    </xf>
    <xf numFmtId="3" fontId="24" fillId="0" borderId="0" applyFont="0" applyFill="0" applyBorder="0" applyAlignment="0" applyProtection="0"/>
    <xf numFmtId="0" fontId="24" fillId="25" borderId="0" applyNumberFormat="0" applyFont="0" applyBorder="0" applyAlignment="0" applyProtection="0"/>
    <xf numFmtId="0" fontId="6" fillId="0" borderId="0" applyNumberFormat="0" applyFill="0" applyBorder="0" applyAlignment="0" applyProtection="0"/>
    <xf numFmtId="0" fontId="21" fillId="0" borderId="12" applyNumberFormat="0" applyFont="0" applyFill="0" applyAlignment="0" applyProtection="0"/>
    <xf numFmtId="0" fontId="3" fillId="0" borderId="12" applyNumberFormat="0" applyFont="0" applyFill="0" applyAlignment="0" applyProtection="0"/>
    <xf numFmtId="0" fontId="3" fillId="0" borderId="12" applyNumberFormat="0" applyFont="0" applyFill="0" applyAlignment="0" applyProtection="0"/>
    <xf numFmtId="0" fontId="2" fillId="0" borderId="11" applyNumberForma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18" fillId="0" borderId="0" applyNumberFormat="0" applyFill="0" applyBorder="0" applyAlignment="0" applyProtection="0"/>
  </cellStyleXfs>
  <cellXfs count="220">
    <xf numFmtId="0" fontId="0" fillId="0" borderId="0" xfId="0"/>
    <xf numFmtId="6" fontId="0" fillId="0" borderId="0" xfId="0" applyNumberFormat="1"/>
    <xf numFmtId="0" fontId="33" fillId="0" borderId="0" xfId="0" applyFont="1"/>
    <xf numFmtId="165" fontId="33" fillId="0" borderId="0" xfId="0" applyNumberFormat="1" applyFont="1"/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7" fontId="0" fillId="0" borderId="0" xfId="0" applyNumberFormat="1"/>
    <xf numFmtId="165" fontId="0" fillId="0" borderId="0" xfId="0" applyNumberFormat="1" applyAlignment="1"/>
    <xf numFmtId="165" fontId="0" fillId="0" borderId="13" xfId="0" applyNumberFormat="1" applyFont="1" applyBorder="1" applyAlignment="1"/>
    <xf numFmtId="3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>
      <alignment horizontal="center"/>
    </xf>
    <xf numFmtId="165" fontId="0" fillId="0" borderId="0" xfId="0" applyNumberFormat="1"/>
    <xf numFmtId="168" fontId="0" fillId="0" borderId="0" xfId="0" applyNumberFormat="1"/>
    <xf numFmtId="0" fontId="3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6" fontId="0" fillId="0" borderId="14" xfId="0" applyNumberFormat="1" applyBorder="1"/>
    <xf numFmtId="169" fontId="0" fillId="0" borderId="0" xfId="0" applyNumberFormat="1"/>
    <xf numFmtId="9" fontId="0" fillId="0" borderId="0" xfId="0" applyNumberFormat="1"/>
    <xf numFmtId="3" fontId="0" fillId="0" borderId="0" xfId="0" applyNumberFormat="1"/>
    <xf numFmtId="0" fontId="32" fillId="0" borderId="0" xfId="0" applyFont="1"/>
    <xf numFmtId="0" fontId="34" fillId="0" borderId="0" xfId="0" applyFont="1"/>
    <xf numFmtId="0" fontId="0" fillId="0" borderId="1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Fill="1" applyBorder="1" applyAlignment="1">
      <alignment horizontal="right"/>
    </xf>
    <xf numFmtId="170" fontId="0" fillId="0" borderId="0" xfId="0" applyNumberFormat="1"/>
    <xf numFmtId="171" fontId="0" fillId="0" borderId="0" xfId="0" applyNumberFormat="1"/>
    <xf numFmtId="0" fontId="3" fillId="0" borderId="0" xfId="100"/>
    <xf numFmtId="171" fontId="3" fillId="0" borderId="0" xfId="100" applyNumberFormat="1"/>
    <xf numFmtId="3" fontId="3" fillId="0" borderId="0" xfId="100" applyNumberFormat="1"/>
    <xf numFmtId="171" fontId="3" fillId="0" borderId="15" xfId="100" applyNumberFormat="1" applyBorder="1" applyAlignment="1">
      <alignment horizontal="left"/>
    </xf>
    <xf numFmtId="165" fontId="3" fillId="0" borderId="16" xfId="100" applyNumberFormat="1" applyBorder="1"/>
    <xf numFmtId="0" fontId="4" fillId="27" borderId="17" xfId="100" applyFont="1" applyFill="1" applyBorder="1" applyAlignment="1">
      <alignment horizontal="center"/>
    </xf>
    <xf numFmtId="0" fontId="4" fillId="27" borderId="18" xfId="100" applyFont="1" applyFill="1" applyBorder="1" applyAlignment="1">
      <alignment horizontal="center"/>
    </xf>
    <xf numFmtId="171" fontId="5" fillId="0" borderId="0" xfId="100" applyNumberFormat="1" applyFont="1"/>
    <xf numFmtId="10" fontId="0" fillId="0" borderId="0" xfId="0" applyNumberFormat="1"/>
    <xf numFmtId="14" fontId="0" fillId="0" borderId="0" xfId="0" applyNumberFormat="1"/>
    <xf numFmtId="5" fontId="0" fillId="0" borderId="0" xfId="0" applyNumberFormat="1"/>
    <xf numFmtId="37" fontId="0" fillId="0" borderId="13" xfId="0" applyNumberFormat="1" applyBorder="1"/>
    <xf numFmtId="37" fontId="0" fillId="0" borderId="0" xfId="0" applyNumberFormat="1"/>
    <xf numFmtId="169" fontId="30" fillId="0" borderId="0" xfId="121" applyNumberFormat="1" applyFont="1"/>
    <xf numFmtId="0" fontId="0" fillId="26" borderId="0" xfId="0" applyFill="1"/>
    <xf numFmtId="5" fontId="0" fillId="26" borderId="0" xfId="0" applyNumberFormat="1" applyFill="1"/>
    <xf numFmtId="10" fontId="30" fillId="0" borderId="0" xfId="12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37" fontId="0" fillId="26" borderId="0" xfId="0" applyNumberFormat="1" applyFill="1"/>
    <xf numFmtId="171" fontId="0" fillId="0" borderId="0" xfId="0" applyNumberFormat="1" applyBorder="1"/>
    <xf numFmtId="37" fontId="0" fillId="0" borderId="0" xfId="0" applyNumberFormat="1" applyBorder="1"/>
    <xf numFmtId="37" fontId="0" fillId="26" borderId="0" xfId="0" applyNumberFormat="1" applyFill="1" applyBorder="1"/>
    <xf numFmtId="165" fontId="0" fillId="0" borderId="13" xfId="0" applyNumberFormat="1" applyBorder="1"/>
    <xf numFmtId="0" fontId="0" fillId="28" borderId="0" xfId="0" applyFill="1"/>
    <xf numFmtId="10" fontId="32" fillId="0" borderId="0" xfId="0" applyNumberFormat="1" applyFont="1"/>
    <xf numFmtId="5" fontId="0" fillId="26" borderId="0" xfId="0" applyNumberFormat="1" applyFill="1" applyAlignment="1">
      <alignment horizontal="right"/>
    </xf>
    <xf numFmtId="168" fontId="3" fillId="0" borderId="0" xfId="100" applyNumberFormat="1" applyFont="1" applyBorder="1"/>
    <xf numFmtId="0" fontId="4" fillId="27" borderId="15" xfId="100" applyFont="1" applyFill="1" applyBorder="1" applyAlignment="1">
      <alignment horizontal="left"/>
    </xf>
    <xf numFmtId="0" fontId="5" fillId="0" borderId="0" xfId="109" applyFont="1" applyAlignment="1"/>
    <xf numFmtId="10" fontId="35" fillId="0" borderId="0" xfId="121" applyNumberFormat="1" applyFont="1" applyAlignment="1">
      <alignment horizontal="center"/>
    </xf>
    <xf numFmtId="0" fontId="35" fillId="0" borderId="0" xfId="0" applyFont="1" applyAlignment="1">
      <alignment horizontal="center"/>
    </xf>
    <xf numFmtId="10" fontId="30" fillId="0" borderId="0" xfId="122" applyNumberFormat="1" applyFont="1" applyAlignment="1">
      <alignment horizontal="center"/>
    </xf>
    <xf numFmtId="0" fontId="3" fillId="0" borderId="0" xfId="97"/>
    <xf numFmtId="14" fontId="3" fillId="0" borderId="0" xfId="97" applyNumberFormat="1"/>
    <xf numFmtId="0" fontId="4" fillId="27" borderId="19" xfId="100" applyFont="1" applyFill="1" applyBorder="1" applyAlignment="1">
      <alignment horizontal="right"/>
    </xf>
    <xf numFmtId="0" fontId="4" fillId="27" borderId="20" xfId="100" applyFont="1" applyFill="1" applyBorder="1" applyAlignment="1">
      <alignment horizontal="right"/>
    </xf>
    <xf numFmtId="0" fontId="4" fillId="27" borderId="0" xfId="100" applyFont="1" applyFill="1" applyBorder="1" applyAlignment="1">
      <alignment horizontal="right"/>
    </xf>
    <xf numFmtId="0" fontId="4" fillId="27" borderId="16" xfId="100" applyFont="1" applyFill="1" applyBorder="1" applyAlignment="1">
      <alignment horizontal="right"/>
    </xf>
    <xf numFmtId="0" fontId="4" fillId="27" borderId="13" xfId="100" applyFont="1" applyFill="1" applyBorder="1" applyAlignment="1">
      <alignment horizontal="right"/>
    </xf>
    <xf numFmtId="0" fontId="4" fillId="27" borderId="21" xfId="100" applyFont="1" applyFill="1" applyBorder="1" applyAlignment="1">
      <alignment horizontal="right"/>
    </xf>
    <xf numFmtId="171" fontId="3" fillId="0" borderId="15" xfId="100" applyNumberFormat="1" applyFill="1" applyBorder="1" applyAlignment="1">
      <alignment horizontal="left"/>
    </xf>
    <xf numFmtId="168" fontId="3" fillId="0" borderId="0" xfId="100" applyNumberFormat="1" applyFont="1" applyFill="1" applyBorder="1"/>
    <xf numFmtId="165" fontId="3" fillId="0" borderId="16" xfId="100" applyNumberFormat="1" applyFill="1" applyBorder="1"/>
    <xf numFmtId="0" fontId="0" fillId="0" borderId="0" xfId="0"/>
    <xf numFmtId="0" fontId="4" fillId="27" borderId="15" xfId="100" applyFont="1" applyFill="1" applyBorder="1" applyAlignment="1">
      <alignment horizontal="center"/>
    </xf>
    <xf numFmtId="0" fontId="4" fillId="27" borderId="17" xfId="100" applyFont="1" applyFill="1" applyBorder="1" applyAlignment="1">
      <alignment horizontal="center"/>
    </xf>
    <xf numFmtId="0" fontId="4" fillId="27" borderId="18" xfId="100" applyFont="1" applyFill="1" applyBorder="1" applyAlignment="1">
      <alignment horizontal="center"/>
    </xf>
    <xf numFmtId="0" fontId="4" fillId="27" borderId="15" xfId="100" applyFont="1" applyFill="1" applyBorder="1" applyAlignment="1">
      <alignment horizontal="left"/>
    </xf>
    <xf numFmtId="168" fontId="0" fillId="0" borderId="0" xfId="0" applyNumberFormat="1"/>
    <xf numFmtId="185" fontId="0" fillId="0" borderId="0" xfId="0" applyNumberFormat="1"/>
    <xf numFmtId="187" fontId="0" fillId="0" borderId="0" xfId="0" applyNumberFormat="1"/>
    <xf numFmtId="10" fontId="33" fillId="0" borderId="0" xfId="0" applyNumberFormat="1" applyFont="1"/>
    <xf numFmtId="0" fontId="32" fillId="0" borderId="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170" fontId="32" fillId="0" borderId="0" xfId="0" applyNumberFormat="1" applyFont="1"/>
    <xf numFmtId="168" fontId="32" fillId="0" borderId="0" xfId="0" applyNumberFormat="1" applyFont="1"/>
    <xf numFmtId="168" fontId="32" fillId="29" borderId="0" xfId="0" applyNumberFormat="1" applyFont="1" applyFill="1"/>
    <xf numFmtId="168" fontId="32" fillId="30" borderId="0" xfId="0" applyNumberFormat="1" applyFont="1" applyFill="1"/>
    <xf numFmtId="168" fontId="3" fillId="0" borderId="17" xfId="100" applyNumberFormat="1" applyFont="1" applyBorder="1"/>
    <xf numFmtId="168" fontId="3" fillId="0" borderId="15" xfId="100" applyNumberFormat="1" applyFont="1" applyBorder="1"/>
    <xf numFmtId="168" fontId="3" fillId="0" borderId="15" xfId="100" applyNumberFormat="1" applyFont="1" applyFill="1" applyBorder="1"/>
    <xf numFmtId="168" fontId="0" fillId="0" borderId="20" xfId="0" applyNumberFormat="1" applyBorder="1"/>
    <xf numFmtId="168" fontId="0" fillId="0" borderId="16" xfId="0" applyNumberFormat="1" applyBorder="1"/>
    <xf numFmtId="0" fontId="36" fillId="29" borderId="0" xfId="0" applyFont="1" applyFill="1" applyAlignment="1">
      <alignment horizontal="left" indent="1"/>
    </xf>
    <xf numFmtId="0" fontId="0" fillId="0" borderId="0" xfId="0" applyAlignment="1">
      <alignment horizontal="left" indent="1"/>
    </xf>
    <xf numFmtId="0" fontId="36" fillId="30" borderId="0" xfId="0" applyFont="1" applyFill="1" applyAlignment="1">
      <alignment horizontal="left" indent="1"/>
    </xf>
    <xf numFmtId="0" fontId="4" fillId="27" borderId="19" xfId="100" applyFont="1" applyFill="1" applyBorder="1" applyAlignment="1">
      <alignment horizontal="center"/>
    </xf>
    <xf numFmtId="0" fontId="4" fillId="27" borderId="0" xfId="100" applyFont="1" applyFill="1" applyBorder="1" applyAlignment="1">
      <alignment horizontal="center"/>
    </xf>
    <xf numFmtId="0" fontId="4" fillId="27" borderId="13" xfId="100" applyFont="1" applyFill="1" applyBorder="1" applyAlignment="1">
      <alignment horizontal="center"/>
    </xf>
    <xf numFmtId="0" fontId="4" fillId="27" borderId="20" xfId="100" applyFont="1" applyFill="1" applyBorder="1" applyAlignment="1">
      <alignment horizontal="center"/>
    </xf>
    <xf numFmtId="0" fontId="4" fillId="27" borderId="16" xfId="100" applyFont="1" applyFill="1" applyBorder="1" applyAlignment="1">
      <alignment horizontal="center"/>
    </xf>
    <xf numFmtId="0" fontId="4" fillId="27" borderId="21" xfId="100" applyFont="1" applyFill="1" applyBorder="1" applyAlignment="1">
      <alignment horizontal="center"/>
    </xf>
    <xf numFmtId="0" fontId="4" fillId="31" borderId="19" xfId="100" applyFont="1" applyFill="1" applyBorder="1" applyAlignment="1">
      <alignment horizontal="center"/>
    </xf>
    <xf numFmtId="0" fontId="4" fillId="31" borderId="20" xfId="100" applyFont="1" applyFill="1" applyBorder="1" applyAlignment="1">
      <alignment horizontal="center"/>
    </xf>
    <xf numFmtId="0" fontId="4" fillId="31" borderId="0" xfId="100" applyFont="1" applyFill="1" applyBorder="1" applyAlignment="1">
      <alignment horizontal="center"/>
    </xf>
    <xf numFmtId="0" fontId="4" fillId="31" borderId="16" xfId="100" applyFont="1" applyFill="1" applyBorder="1" applyAlignment="1">
      <alignment horizontal="center"/>
    </xf>
    <xf numFmtId="0" fontId="4" fillId="31" borderId="13" xfId="100" applyFont="1" applyFill="1" applyBorder="1" applyAlignment="1">
      <alignment horizontal="center"/>
    </xf>
    <xf numFmtId="0" fontId="4" fillId="31" borderId="21" xfId="100" applyFont="1" applyFill="1" applyBorder="1" applyAlignment="1">
      <alignment horizontal="center"/>
    </xf>
    <xf numFmtId="0" fontId="4" fillId="32" borderId="19" xfId="100" applyFont="1" applyFill="1" applyBorder="1" applyAlignment="1">
      <alignment horizontal="center"/>
    </xf>
    <xf numFmtId="0" fontId="4" fillId="32" borderId="20" xfId="100" applyFont="1" applyFill="1" applyBorder="1" applyAlignment="1">
      <alignment horizontal="center"/>
    </xf>
    <xf numFmtId="0" fontId="4" fillId="32" borderId="0" xfId="100" applyFont="1" applyFill="1" applyBorder="1" applyAlignment="1">
      <alignment horizontal="center"/>
    </xf>
    <xf numFmtId="0" fontId="4" fillId="32" borderId="16" xfId="100" applyFont="1" applyFill="1" applyBorder="1" applyAlignment="1">
      <alignment horizontal="center"/>
    </xf>
    <xf numFmtId="0" fontId="4" fillId="32" borderId="13" xfId="100" applyFont="1" applyFill="1" applyBorder="1" applyAlignment="1">
      <alignment horizontal="center"/>
    </xf>
    <xf numFmtId="0" fontId="4" fillId="32" borderId="21" xfId="100" applyFont="1" applyFill="1" applyBorder="1" applyAlignment="1">
      <alignment horizontal="center"/>
    </xf>
    <xf numFmtId="0" fontId="36" fillId="33" borderId="0" xfId="0" applyFont="1" applyFill="1" applyAlignment="1">
      <alignment horizontal="left" indent="1"/>
    </xf>
    <xf numFmtId="168" fontId="32" fillId="34" borderId="0" xfId="0" applyNumberFormat="1" applyFont="1" applyFill="1"/>
    <xf numFmtId="168" fontId="32" fillId="35" borderId="0" xfId="0" applyNumberFormat="1" applyFont="1" applyFill="1"/>
    <xf numFmtId="0" fontId="36" fillId="35" borderId="0" xfId="0" applyFont="1" applyFill="1" applyAlignment="1">
      <alignment horizontal="left" indent="1"/>
    </xf>
    <xf numFmtId="168" fontId="32" fillId="36" borderId="0" xfId="0" applyNumberFormat="1" applyFont="1" applyFill="1"/>
    <xf numFmtId="0" fontId="36" fillId="36" borderId="0" xfId="0" applyFont="1" applyFill="1" applyAlignment="1">
      <alignment horizontal="left" indent="1"/>
    </xf>
    <xf numFmtId="168" fontId="32" fillId="31" borderId="0" xfId="0" applyNumberFormat="1" applyFont="1" applyFill="1"/>
    <xf numFmtId="168" fontId="32" fillId="37" borderId="0" xfId="0" applyNumberFormat="1" applyFont="1" applyFill="1"/>
    <xf numFmtId="0" fontId="36" fillId="37" borderId="0" xfId="0" applyFont="1" applyFill="1"/>
    <xf numFmtId="171" fontId="5" fillId="0" borderId="22" xfId="100" applyNumberFormat="1" applyFont="1" applyFill="1" applyBorder="1" applyAlignment="1">
      <alignment horizontal="left"/>
    </xf>
    <xf numFmtId="165" fontId="5" fillId="0" borderId="23" xfId="100" applyNumberFormat="1" applyFont="1" applyFill="1" applyBorder="1"/>
    <xf numFmtId="165" fontId="5" fillId="0" borderId="24" xfId="100" applyNumberFormat="1" applyFont="1" applyFill="1" applyBorder="1"/>
    <xf numFmtId="171" fontId="3" fillId="30" borderId="15" xfId="100" applyNumberFormat="1" applyFill="1" applyBorder="1" applyAlignment="1">
      <alignment horizontal="left"/>
    </xf>
    <xf numFmtId="168" fontId="3" fillId="30" borderId="0" xfId="100" applyNumberFormat="1" applyFont="1" applyFill="1" applyBorder="1"/>
    <xf numFmtId="165" fontId="3" fillId="30" borderId="16" xfId="100" applyNumberFormat="1" applyFill="1" applyBorder="1"/>
    <xf numFmtId="0" fontId="32" fillId="38" borderId="0" xfId="0" applyFont="1" applyFill="1"/>
    <xf numFmtId="187" fontId="37" fillId="0" borderId="0" xfId="0" applyNumberFormat="1" applyFont="1"/>
    <xf numFmtId="168" fontId="37" fillId="0" borderId="0" xfId="0" applyNumberFormat="1" applyFont="1"/>
    <xf numFmtId="168" fontId="33" fillId="0" borderId="0" xfId="0" applyNumberFormat="1" applyFont="1"/>
    <xf numFmtId="187" fontId="33" fillId="0" borderId="0" xfId="0" applyNumberFormat="1" applyFont="1"/>
    <xf numFmtId="189" fontId="0" fillId="0" borderId="0" xfId="0" applyNumberFormat="1" applyAlignment="1">
      <alignment horizontal="left"/>
    </xf>
    <xf numFmtId="0" fontId="38" fillId="0" borderId="0" xfId="0" applyFont="1"/>
    <xf numFmtId="0" fontId="38" fillId="0" borderId="21" xfId="0" applyFont="1" applyBorder="1"/>
    <xf numFmtId="0" fontId="0" fillId="0" borderId="0" xfId="0" applyFont="1"/>
    <xf numFmtId="0" fontId="39" fillId="0" borderId="15" xfId="99" applyFont="1" applyBorder="1"/>
    <xf numFmtId="0" fontId="39" fillId="0" borderId="0" xfId="99" applyFont="1" applyBorder="1"/>
    <xf numFmtId="0" fontId="39" fillId="0" borderId="16" xfId="99" applyFont="1" applyBorder="1"/>
    <xf numFmtId="0" fontId="39" fillId="0" borderId="0" xfId="99" applyFont="1" applyBorder="1" applyAlignment="1">
      <alignment horizontal="center"/>
    </xf>
    <xf numFmtId="0" fontId="39" fillId="0" borderId="16" xfId="99" applyFont="1" applyBorder="1" applyAlignment="1">
      <alignment horizontal="center"/>
    </xf>
    <xf numFmtId="0" fontId="40" fillId="0" borderId="15" xfId="99" applyFont="1" applyBorder="1" applyAlignment="1">
      <alignment horizontal="center"/>
    </xf>
    <xf numFmtId="0" fontId="40" fillId="0" borderId="0" xfId="99" applyFont="1" applyBorder="1" applyAlignment="1">
      <alignment horizontal="center"/>
    </xf>
    <xf numFmtId="0" fontId="40" fillId="0" borderId="16" xfId="99" applyFont="1" applyBorder="1" applyAlignment="1">
      <alignment horizontal="center"/>
    </xf>
    <xf numFmtId="0" fontId="41" fillId="0" borderId="15" xfId="99" applyFont="1" applyBorder="1" applyAlignment="1">
      <alignment horizontal="center"/>
    </xf>
    <xf numFmtId="0" fontId="41" fillId="0" borderId="0" xfId="99" applyFont="1" applyBorder="1" applyAlignment="1">
      <alignment horizontal="center"/>
    </xf>
    <xf numFmtId="0" fontId="41" fillId="0" borderId="16" xfId="99" applyFont="1" applyBorder="1" applyAlignment="1">
      <alignment horizontal="center"/>
    </xf>
    <xf numFmtId="191" fontId="39" fillId="0" borderId="15" xfId="99" quotePrefix="1" applyNumberFormat="1" applyFont="1" applyBorder="1" applyAlignment="1">
      <alignment horizontal="left"/>
    </xf>
    <xf numFmtId="37" fontId="39" fillId="0" borderId="0" xfId="99" applyNumberFormat="1" applyFont="1" applyBorder="1"/>
    <xf numFmtId="174" fontId="39" fillId="0" borderId="16" xfId="41" applyNumberFormat="1" applyFont="1" applyBorder="1"/>
    <xf numFmtId="173" fontId="39" fillId="0" borderId="0" xfId="28" applyNumberFormat="1" applyFont="1" applyFill="1" applyBorder="1"/>
    <xf numFmtId="182" fontId="39" fillId="0" borderId="0" xfId="36" applyNumberFormat="1" applyFont="1" applyBorder="1"/>
    <xf numFmtId="179" fontId="39" fillId="0" borderId="16" xfId="48" applyNumberFormat="1" applyFont="1" applyBorder="1"/>
    <xf numFmtId="17" fontId="39" fillId="0" borderId="15" xfId="99" applyNumberFormat="1" applyFont="1" applyBorder="1" applyAlignment="1">
      <alignment horizontal="left"/>
    </xf>
    <xf numFmtId="181" fontId="39" fillId="0" borderId="0" xfId="41" applyNumberFormat="1" applyFont="1" applyBorder="1"/>
    <xf numFmtId="17" fontId="39" fillId="0" borderId="15" xfId="99" applyNumberFormat="1" applyFont="1" applyBorder="1"/>
    <xf numFmtId="173" fontId="39" fillId="0" borderId="0" xfId="28" applyNumberFormat="1" applyFont="1" applyBorder="1"/>
    <xf numFmtId="37" fontId="40" fillId="0" borderId="0" xfId="99" applyNumberFormat="1" applyFont="1" applyBorder="1"/>
    <xf numFmtId="0" fontId="39" fillId="0" borderId="18" xfId="99" applyFont="1" applyBorder="1"/>
    <xf numFmtId="37" fontId="39" fillId="0" borderId="13" xfId="36" applyNumberFormat="1" applyFont="1" applyBorder="1"/>
    <xf numFmtId="182" fontId="39" fillId="0" borderId="13" xfId="36" applyNumberFormat="1" applyFont="1" applyBorder="1"/>
    <xf numFmtId="179" fontId="39" fillId="0" borderId="13" xfId="48" applyNumberFormat="1" applyFont="1" applyBorder="1"/>
    <xf numFmtId="37" fontId="39" fillId="0" borderId="13" xfId="99" applyNumberFormat="1" applyFont="1" applyBorder="1"/>
    <xf numFmtId="0" fontId="39" fillId="0" borderId="0" xfId="99" applyFont="1"/>
    <xf numFmtId="182" fontId="39" fillId="0" borderId="0" xfId="36" applyNumberFormat="1" applyFont="1"/>
    <xf numFmtId="37" fontId="39" fillId="0" borderId="0" xfId="99" applyNumberFormat="1" applyFont="1"/>
    <xf numFmtId="0" fontId="42" fillId="0" borderId="17" xfId="0" applyFont="1" applyBorder="1" applyAlignment="1">
      <alignment horizontal="centerContinuous"/>
    </xf>
    <xf numFmtId="0" fontId="42" fillId="0" borderId="19" xfId="0" applyFont="1" applyBorder="1" applyAlignment="1">
      <alignment horizontal="centerContinuous"/>
    </xf>
    <xf numFmtId="0" fontId="43" fillId="0" borderId="19" xfId="0" applyFont="1" applyBorder="1" applyAlignment="1">
      <alignment horizontal="centerContinuous"/>
    </xf>
    <xf numFmtId="0" fontId="43" fillId="0" borderId="20" xfId="0" applyFont="1" applyBorder="1" applyAlignment="1">
      <alignment horizontal="centerContinuous"/>
    </xf>
    <xf numFmtId="0" fontId="44" fillId="0" borderId="15" xfId="99" applyFont="1" applyBorder="1"/>
    <xf numFmtId="0" fontId="44" fillId="0" borderId="0" xfId="99" applyFont="1" applyBorder="1"/>
    <xf numFmtId="0" fontId="44" fillId="0" borderId="16" xfId="99" applyFont="1" applyBorder="1"/>
    <xf numFmtId="0" fontId="44" fillId="0" borderId="0" xfId="99" applyFont="1" applyBorder="1" applyAlignment="1">
      <alignment horizontal="center"/>
    </xf>
    <xf numFmtId="0" fontId="44" fillId="0" borderId="16" xfId="99" applyFont="1" applyBorder="1" applyAlignment="1">
      <alignment horizontal="center"/>
    </xf>
    <xf numFmtId="0" fontId="45" fillId="0" borderId="15" xfId="99" applyFont="1" applyBorder="1" applyAlignment="1">
      <alignment horizontal="center"/>
    </xf>
    <xf numFmtId="0" fontId="45" fillId="0" borderId="0" xfId="99" applyFont="1" applyBorder="1" applyAlignment="1">
      <alignment horizontal="center"/>
    </xf>
    <xf numFmtId="0" fontId="45" fillId="0" borderId="16" xfId="99" applyFont="1" applyBorder="1" applyAlignment="1">
      <alignment horizontal="center"/>
    </xf>
    <xf numFmtId="0" fontId="46" fillId="0" borderId="15" xfId="99" applyFont="1" applyBorder="1" applyAlignment="1">
      <alignment horizontal="center"/>
    </xf>
    <xf numFmtId="0" fontId="46" fillId="0" borderId="0" xfId="99" applyFont="1" applyBorder="1" applyAlignment="1">
      <alignment horizontal="center"/>
    </xf>
    <xf numFmtId="0" fontId="46" fillId="0" borderId="16" xfId="99" applyFont="1" applyBorder="1" applyAlignment="1">
      <alignment horizontal="center"/>
    </xf>
    <xf numFmtId="191" fontId="44" fillId="0" borderId="15" xfId="99" quotePrefix="1" applyNumberFormat="1" applyFont="1" applyBorder="1" applyAlignment="1">
      <alignment horizontal="left"/>
    </xf>
    <xf numFmtId="37" fontId="44" fillId="0" borderId="0" xfId="99" applyNumberFormat="1" applyFont="1" applyBorder="1"/>
    <xf numFmtId="174" fontId="44" fillId="0" borderId="16" xfId="41" applyNumberFormat="1" applyFont="1" applyBorder="1"/>
    <xf numFmtId="173" fontId="44" fillId="0" borderId="0" xfId="28" applyNumberFormat="1" applyFont="1" applyFill="1" applyBorder="1"/>
    <xf numFmtId="182" fontId="44" fillId="0" borderId="0" xfId="36" applyNumberFormat="1" applyFont="1" applyBorder="1"/>
    <xf numFmtId="179" fontId="44" fillId="0" borderId="16" xfId="48" applyNumberFormat="1" applyFont="1" applyBorder="1"/>
    <xf numFmtId="17" fontId="44" fillId="0" borderId="15" xfId="99" applyNumberFormat="1" applyFont="1" applyBorder="1" applyAlignment="1">
      <alignment horizontal="left"/>
    </xf>
    <xf numFmtId="181" fontId="44" fillId="0" borderId="0" xfId="41" applyNumberFormat="1" applyFont="1" applyBorder="1"/>
    <xf numFmtId="17" fontId="44" fillId="0" borderId="15" xfId="99" applyNumberFormat="1" applyFont="1" applyBorder="1"/>
    <xf numFmtId="173" fontId="44" fillId="0" borderId="0" xfId="28" applyNumberFormat="1" applyFont="1" applyBorder="1"/>
    <xf numFmtId="37" fontId="45" fillId="0" borderId="0" xfId="99" applyNumberFormat="1" applyFont="1" applyBorder="1"/>
    <xf numFmtId="0" fontId="44" fillId="0" borderId="18" xfId="99" applyFont="1" applyBorder="1"/>
    <xf numFmtId="37" fontId="44" fillId="0" borderId="13" xfId="36" applyNumberFormat="1" applyFont="1" applyBorder="1"/>
    <xf numFmtId="182" fontId="44" fillId="0" borderId="13" xfId="36" applyNumberFormat="1" applyFont="1" applyBorder="1"/>
    <xf numFmtId="179" fontId="44" fillId="0" borderId="13" xfId="48" applyNumberFormat="1" applyFont="1" applyBorder="1"/>
    <xf numFmtId="37" fontId="44" fillId="0" borderId="13" xfId="99" applyNumberFormat="1" applyFont="1" applyBorder="1"/>
    <xf numFmtId="0" fontId="43" fillId="0" borderId="21" xfId="0" applyFont="1" applyBorder="1"/>
    <xf numFmtId="0" fontId="43" fillId="0" borderId="0" xfId="0" applyFont="1"/>
    <xf numFmtId="0" fontId="47" fillId="0" borderId="0" xfId="0" applyFont="1"/>
    <xf numFmtId="0" fontId="4" fillId="39" borderId="25" xfId="100" applyFont="1" applyFill="1" applyBorder="1" applyAlignment="1">
      <alignment horizontal="center"/>
    </xf>
    <xf numFmtId="0" fontId="4" fillId="39" borderId="26" xfId="100" applyFont="1" applyFill="1" applyBorder="1" applyAlignment="1">
      <alignment horizontal="center"/>
    </xf>
    <xf numFmtId="0" fontId="0" fillId="39" borderId="26" xfId="0" applyFill="1" applyBorder="1" applyAlignment="1">
      <alignment horizontal="center"/>
    </xf>
    <xf numFmtId="0" fontId="0" fillId="39" borderId="27" xfId="0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168" fontId="34" fillId="29" borderId="26" xfId="0" applyNumberFormat="1" applyFont="1" applyFill="1" applyBorder="1"/>
    <xf numFmtId="168" fontId="0" fillId="0" borderId="26" xfId="0" applyNumberFormat="1" applyBorder="1"/>
    <xf numFmtId="168" fontId="34" fillId="30" borderId="26" xfId="0" applyNumberFormat="1" applyFont="1" applyFill="1" applyBorder="1"/>
    <xf numFmtId="168" fontId="34" fillId="33" borderId="26" xfId="0" applyNumberFormat="1" applyFont="1" applyFill="1" applyBorder="1"/>
    <xf numFmtId="168" fontId="34" fillId="35" borderId="26" xfId="0" applyNumberFormat="1" applyFont="1" applyFill="1" applyBorder="1"/>
    <xf numFmtId="168" fontId="34" fillId="36" borderId="26" xfId="0" applyNumberFormat="1" applyFont="1" applyFill="1" applyBorder="1"/>
    <xf numFmtId="168" fontId="34" fillId="37" borderId="26" xfId="0" applyNumberFormat="1" applyFont="1" applyFill="1" applyBorder="1"/>
    <xf numFmtId="10" fontId="30" fillId="0" borderId="0" xfId="121" applyNumberFormat="1" applyFont="1" applyAlignment="1">
      <alignment horizontal="center"/>
    </xf>
    <xf numFmtId="0" fontId="26" fillId="0" borderId="0" xfId="109" applyFont="1" applyAlignment="1">
      <alignment horizontal="center"/>
    </xf>
    <xf numFmtId="0" fontId="5" fillId="0" borderId="0" xfId="109" applyFont="1" applyAlignment="1">
      <alignment horizontal="center"/>
    </xf>
  </cellXfs>
  <cellStyles count="1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 2" xfId="28"/>
    <cellStyle name="Comma 3" xfId="29"/>
    <cellStyle name="Comma 3 2" xfId="30"/>
    <cellStyle name="Comma 3 3" xfId="31"/>
    <cellStyle name="Comma 4" xfId="32"/>
    <cellStyle name="Comma 5" xfId="33"/>
    <cellStyle name="Comma 5 2" xfId="34"/>
    <cellStyle name="Comma 6" xfId="35"/>
    <cellStyle name="Comma_VC-PY (2)" xfId="36"/>
    <cellStyle name="Comma0" xfId="37"/>
    <cellStyle name="Comma0 2" xfId="38"/>
    <cellStyle name="Comma0 3" xfId="39"/>
    <cellStyle name="Comma0 4" xfId="40"/>
    <cellStyle name="Currency 2 2" xfId="41"/>
    <cellStyle name="Currency 3" xfId="42"/>
    <cellStyle name="Currency 4" xfId="43"/>
    <cellStyle name="Currency 5" xfId="44"/>
    <cellStyle name="Currency 6" xfId="45"/>
    <cellStyle name="Currency 6 2" xfId="46"/>
    <cellStyle name="Currency 7" xfId="47"/>
    <cellStyle name="Currency_VC-PY (2)" xfId="48"/>
    <cellStyle name="Currency0" xfId="49"/>
    <cellStyle name="Currency0 2" xfId="50"/>
    <cellStyle name="Currency0 3" xfId="51"/>
    <cellStyle name="Currency0 4" xfId="52"/>
    <cellStyle name="Date" xfId="53"/>
    <cellStyle name="Date 2" xfId="54"/>
    <cellStyle name="Date 3" xfId="55"/>
    <cellStyle name="Date 4" xfId="56"/>
    <cellStyle name="Explanatory Text 2" xfId="57"/>
    <cellStyle name="FEAS-NC" xfId="58"/>
    <cellStyle name="Fixed" xfId="59"/>
    <cellStyle name="Fixed 2" xfId="60"/>
    <cellStyle name="Fixed 3" xfId="61"/>
    <cellStyle name="Fixed 4" xfId="62"/>
    <cellStyle name="Good 2" xfId="63"/>
    <cellStyle name="Heading 1 2" xfId="64" customBuiltin="1"/>
    <cellStyle name="Heading 1 2 2" xfId="65"/>
    <cellStyle name="Heading 1 2 3" xfId="66"/>
    <cellStyle name="Heading 1 2 4" xfId="67"/>
    <cellStyle name="Heading 1 2 5" xfId="68"/>
    <cellStyle name="Heading 1 3" xfId="69"/>
    <cellStyle name="Heading 1 4" xfId="70"/>
    <cellStyle name="Heading 1 4 2" xfId="71"/>
    <cellStyle name="Heading 1 4 3" xfId="72"/>
    <cellStyle name="Heading 1 4 4" xfId="73"/>
    <cellStyle name="Heading 2 2" xfId="74" customBuiltin="1"/>
    <cellStyle name="Heading 2 2 2" xfId="75"/>
    <cellStyle name="Heading 2 2 3" xfId="76"/>
    <cellStyle name="Heading 2 2 4" xfId="77"/>
    <cellStyle name="Heading 2 2 5" xfId="78"/>
    <cellStyle name="Heading 2 3" xfId="79"/>
    <cellStyle name="Heading 2 4" xfId="80"/>
    <cellStyle name="Heading 2 4 2" xfId="81"/>
    <cellStyle name="Heading 2 4 3" xfId="82"/>
    <cellStyle name="Heading 2 4 4" xfId="83"/>
    <cellStyle name="Heading 3 2" xfId="84"/>
    <cellStyle name="Heading 4 2" xfId="85"/>
    <cellStyle name="Input 2" xfId="86"/>
    <cellStyle name="Linked Cell 2" xfId="87"/>
    <cellStyle name="Neutral 2" xfId="88"/>
    <cellStyle name="Normal" xfId="0" builtinId="0"/>
    <cellStyle name="Normal - Style1" xfId="89"/>
    <cellStyle name="Normal - Style2" xfId="90"/>
    <cellStyle name="Normal - Style3" xfId="91"/>
    <cellStyle name="Normal - Style4" xfId="92"/>
    <cellStyle name="Normal - Style5" xfId="93"/>
    <cellStyle name="Normal - Style6" xfId="94"/>
    <cellStyle name="Normal - Style7" xfId="95"/>
    <cellStyle name="Normal - Style8" xfId="96"/>
    <cellStyle name="Normal 10" xfId="97"/>
    <cellStyle name="Normal 11" xfId="98"/>
    <cellStyle name="Normal 12" xfId="99"/>
    <cellStyle name="Normal 2" xfId="100"/>
    <cellStyle name="Normal 2 2" xfId="101"/>
    <cellStyle name="Normal 2 3" xfId="102"/>
    <cellStyle name="Normal 3 2" xfId="103"/>
    <cellStyle name="Normal 4" xfId="104"/>
    <cellStyle name="Normal 4 2" xfId="105"/>
    <cellStyle name="Normal 4 3" xfId="106"/>
    <cellStyle name="Normal 4 4" xfId="107"/>
    <cellStyle name="Normal 4 5" xfId="108"/>
    <cellStyle name="Normal 5" xfId="109"/>
    <cellStyle name="Normal 5 2" xfId="110"/>
    <cellStyle name="Normal 5 3" xfId="111"/>
    <cellStyle name="Normal 5 4" xfId="112"/>
    <cellStyle name="Normal 6" xfId="113"/>
    <cellStyle name="Normal 6 2" xfId="114"/>
    <cellStyle name="Normal 6 3" xfId="115"/>
    <cellStyle name="Normal 7" xfId="116"/>
    <cellStyle name="Normal 8" xfId="117"/>
    <cellStyle name="Normal 9" xfId="118"/>
    <cellStyle name="Note 2" xfId="119"/>
    <cellStyle name="Output 2" xfId="120"/>
    <cellStyle name="Percent" xfId="121" builtinId="5"/>
    <cellStyle name="Percent 2" xfId="122"/>
    <cellStyle name="Percent 2 2" xfId="123"/>
    <cellStyle name="Percent 3" xfId="124"/>
    <cellStyle name="Percent 3 2" xfId="125"/>
    <cellStyle name="Percent 4" xfId="126"/>
    <cellStyle name="PSChar" xfId="127"/>
    <cellStyle name="PSDate" xfId="128"/>
    <cellStyle name="PSDec" xfId="129"/>
    <cellStyle name="PSHeading" xfId="130"/>
    <cellStyle name="PSInt" xfId="131"/>
    <cellStyle name="PSSpacer" xfId="132"/>
    <cellStyle name="Title 2" xfId="133"/>
    <cellStyle name="Total 2" xfId="134" customBuiltin="1"/>
    <cellStyle name="Total 2 2" xfId="135"/>
    <cellStyle name="Total 2 3" xfId="136"/>
    <cellStyle name="Total 2 4" xfId="137"/>
    <cellStyle name="Total 2 5" xfId="138"/>
    <cellStyle name="Total 3" xfId="139"/>
    <cellStyle name="Total 4" xfId="140"/>
    <cellStyle name="Total 4 2" xfId="141"/>
    <cellStyle name="Total 4 3" xfId="142"/>
    <cellStyle name="Total 4 4" xfId="143"/>
    <cellStyle name="Warning Text 2" xfId="1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B1:H40"/>
  <sheetViews>
    <sheetView topLeftCell="A16" workbookViewId="0">
      <selection activeCell="B39" sqref="B39"/>
    </sheetView>
  </sheetViews>
  <sheetFormatPr defaultRowHeight="15"/>
  <cols>
    <col min="1" max="1" width="7.140625" customWidth="1"/>
    <col min="2" max="2" width="5.85546875" customWidth="1"/>
    <col min="3" max="3" width="26.140625" customWidth="1"/>
    <col min="4" max="4" width="4" customWidth="1"/>
    <col min="5" max="5" width="28.42578125" customWidth="1"/>
    <col min="6" max="6" width="12.5703125" customWidth="1"/>
  </cols>
  <sheetData>
    <row r="1" spans="2:6">
      <c r="B1" s="22" t="s">
        <v>0</v>
      </c>
      <c r="F1" s="22" t="s">
        <v>32</v>
      </c>
    </row>
    <row r="2" spans="2:6">
      <c r="B2" s="22"/>
    </row>
    <row r="3" spans="2:6">
      <c r="B3" s="22" t="s">
        <v>1</v>
      </c>
    </row>
    <row r="5" spans="2:6">
      <c r="B5" t="s">
        <v>91</v>
      </c>
    </row>
    <row r="7" spans="2:6">
      <c r="B7" t="s">
        <v>2</v>
      </c>
      <c r="E7" s="1"/>
      <c r="F7" s="8">
        <f>'Rate Calculation'!B9+'Rate Calculation'!B10+'Rate Calculation'!B11</f>
        <v>1787277</v>
      </c>
    </row>
    <row r="8" spans="2:6">
      <c r="F8" s="8"/>
    </row>
    <row r="9" spans="2:6">
      <c r="B9" t="s">
        <v>3</v>
      </c>
      <c r="F9" s="8"/>
    </row>
    <row r="10" spans="2:6">
      <c r="C10" t="s">
        <v>4</v>
      </c>
      <c r="D10" s="6"/>
      <c r="F10" s="8">
        <v>0</v>
      </c>
    </row>
    <row r="11" spans="2:6">
      <c r="C11" t="s">
        <v>5</v>
      </c>
      <c r="D11" s="6"/>
      <c r="F11" s="8">
        <v>0</v>
      </c>
    </row>
    <row r="12" spans="2:6">
      <c r="C12" t="s">
        <v>6</v>
      </c>
      <c r="D12" s="4"/>
      <c r="E12" s="2"/>
      <c r="F12" s="9">
        <v>500000</v>
      </c>
    </row>
    <row r="13" spans="2:6">
      <c r="C13" t="s">
        <v>7</v>
      </c>
      <c r="E13" s="1"/>
      <c r="F13" s="8">
        <f>F10+F11+F12</f>
        <v>500000</v>
      </c>
    </row>
    <row r="14" spans="2:6">
      <c r="F14" s="8"/>
    </row>
    <row r="15" spans="2:6">
      <c r="B15" t="s">
        <v>8</v>
      </c>
      <c r="E15" s="1"/>
      <c r="F15" s="8">
        <f>F7-F13</f>
        <v>1287277</v>
      </c>
    </row>
    <row r="16" spans="2:6">
      <c r="F16" s="8"/>
    </row>
    <row r="17" spans="2:6">
      <c r="F17" s="8"/>
    </row>
    <row r="18" spans="2:6">
      <c r="B18" t="s">
        <v>9</v>
      </c>
      <c r="F18" s="8"/>
    </row>
    <row r="19" spans="2:6">
      <c r="F19" s="8"/>
    </row>
    <row r="20" spans="2:6">
      <c r="B20" t="s">
        <v>10</v>
      </c>
      <c r="F20" s="10">
        <f>'ESCO Revenue'!F23</f>
        <v>94928.1</v>
      </c>
    </row>
    <row r="21" spans="2:6">
      <c r="B21" t="s">
        <v>11</v>
      </c>
      <c r="F21" s="11">
        <f>'ESCO Revenue'!D23</f>
        <v>3.3489308333333341</v>
      </c>
    </row>
    <row r="22" spans="2:6">
      <c r="B22" t="s">
        <v>12</v>
      </c>
      <c r="F22" s="8">
        <f>'ESCO Revenue'!H23</f>
        <v>317870.94482400001</v>
      </c>
    </row>
    <row r="23" spans="2:6">
      <c r="F23" s="8"/>
    </row>
    <row r="24" spans="2:6">
      <c r="B24" t="s">
        <v>13</v>
      </c>
      <c r="F24" s="8">
        <f>F15+F22</f>
        <v>1605147.9448239999</v>
      </c>
    </row>
    <row r="26" spans="2:6">
      <c r="B26" t="s">
        <v>14</v>
      </c>
      <c r="F26" s="83">
        <v>1.6299999999999999E-2</v>
      </c>
    </row>
    <row r="28" spans="2:6">
      <c r="B28" t="s">
        <v>15</v>
      </c>
    </row>
    <row r="29" spans="2:6">
      <c r="B29" t="s">
        <v>16</v>
      </c>
      <c r="F29" s="1">
        <v>31772</v>
      </c>
    </row>
    <row r="31" spans="2:6">
      <c r="B31" t="s">
        <v>124</v>
      </c>
      <c r="F31" s="3">
        <v>12044</v>
      </c>
    </row>
    <row r="33" spans="2:8">
      <c r="B33" t="s">
        <v>18</v>
      </c>
      <c r="F33" s="1">
        <f>F29-F31</f>
        <v>19728</v>
      </c>
    </row>
    <row r="34" spans="2:8">
      <c r="F34" s="1"/>
    </row>
    <row r="35" spans="2:8">
      <c r="B35" s="17" t="s">
        <v>45</v>
      </c>
      <c r="C35" s="16"/>
      <c r="D35" s="16"/>
      <c r="E35" s="16"/>
      <c r="F35" s="1">
        <f>F33*0.0227</f>
        <v>447.82560000000001</v>
      </c>
    </row>
    <row r="36" spans="2:8">
      <c r="B36" t="s">
        <v>17</v>
      </c>
    </row>
    <row r="37" spans="2:8">
      <c r="B37" s="4" t="s">
        <v>46</v>
      </c>
      <c r="F37" s="54">
        <v>1050</v>
      </c>
    </row>
    <row r="38" spans="2:8">
      <c r="H38" s="7"/>
    </row>
    <row r="39" spans="2:8" ht="15.75" thickBot="1">
      <c r="B39" s="4" t="s">
        <v>18</v>
      </c>
      <c r="F39" s="18">
        <f>F33+F35+F37</f>
        <v>21225.8256</v>
      </c>
    </row>
    <row r="40" spans="2:8" ht="15.7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N31"/>
  <sheetViews>
    <sheetView workbookViewId="0">
      <selection activeCell="F15" sqref="F15"/>
    </sheetView>
  </sheetViews>
  <sheetFormatPr defaultRowHeight="15"/>
  <cols>
    <col min="1" max="1" width="34.42578125" style="75" customWidth="1"/>
    <col min="2" max="2" width="12" style="75" customWidth="1"/>
    <col min="3" max="3" width="2.140625" style="75" customWidth="1"/>
    <col min="4" max="4" width="11.5703125" style="75" customWidth="1"/>
    <col min="5" max="5" width="2" style="75" customWidth="1"/>
    <col min="6" max="6" width="11.42578125" style="75" customWidth="1"/>
    <col min="7" max="7" width="2" style="75" customWidth="1"/>
    <col min="8" max="10" width="11.42578125" style="75" customWidth="1"/>
    <col min="11" max="11" width="2.28515625" style="75" customWidth="1"/>
    <col min="12" max="12" width="11.85546875" style="75" customWidth="1"/>
    <col min="13" max="13" width="1.7109375" style="75" customWidth="1"/>
    <col min="14" max="16384" width="9.140625" style="75"/>
  </cols>
  <sheetData>
    <row r="1" spans="1:14">
      <c r="D1" s="15"/>
      <c r="L1" s="15" t="s">
        <v>22</v>
      </c>
    </row>
    <row r="2" spans="1:14">
      <c r="A2" s="22" t="str">
        <f>ASSESSMENT!B1</f>
        <v>CASE 09-M-0311</v>
      </c>
    </row>
    <row r="3" spans="1:14">
      <c r="A3" s="22"/>
    </row>
    <row r="4" spans="1:14">
      <c r="A4" s="22" t="str">
        <f>ASSESSMENT!B3</f>
        <v>Valley Energy, Inc.</v>
      </c>
    </row>
    <row r="5" spans="1:14">
      <c r="I5" s="12" t="s">
        <v>97</v>
      </c>
      <c r="L5" s="12" t="s">
        <v>44</v>
      </c>
    </row>
    <row r="6" spans="1:14">
      <c r="A6" s="23" t="s">
        <v>23</v>
      </c>
      <c r="D6" s="12" t="s">
        <v>31</v>
      </c>
      <c r="F6" s="12" t="s">
        <v>39</v>
      </c>
      <c r="G6" s="12"/>
      <c r="H6" s="12" t="s">
        <v>92</v>
      </c>
      <c r="I6" s="12" t="s">
        <v>98</v>
      </c>
      <c r="J6" s="12" t="s">
        <v>95</v>
      </c>
      <c r="L6" s="12" t="s">
        <v>21</v>
      </c>
      <c r="M6" s="12"/>
      <c r="N6" s="84" t="s">
        <v>20</v>
      </c>
    </row>
    <row r="7" spans="1:14">
      <c r="D7" s="12" t="s">
        <v>38</v>
      </c>
      <c r="F7" s="12" t="s">
        <v>40</v>
      </c>
      <c r="G7" s="12"/>
      <c r="H7" s="12" t="s">
        <v>93</v>
      </c>
      <c r="I7" s="26" t="s">
        <v>99</v>
      </c>
      <c r="J7" s="12" t="s">
        <v>93</v>
      </c>
      <c r="L7" s="12" t="s">
        <v>42</v>
      </c>
      <c r="M7" s="12"/>
      <c r="N7" s="84" t="s">
        <v>43</v>
      </c>
    </row>
    <row r="8" spans="1:14">
      <c r="D8" s="24" t="s">
        <v>28</v>
      </c>
      <c r="E8" s="25"/>
      <c r="F8" s="24" t="s">
        <v>41</v>
      </c>
      <c r="G8" s="26"/>
      <c r="H8" s="24" t="s">
        <v>94</v>
      </c>
      <c r="I8" s="24" t="s">
        <v>100</v>
      </c>
      <c r="J8" s="24" t="s">
        <v>94</v>
      </c>
      <c r="K8" s="25"/>
      <c r="L8" s="24">
        <v>2013</v>
      </c>
      <c r="M8" s="26"/>
      <c r="N8" s="85" t="s">
        <v>44</v>
      </c>
    </row>
    <row r="9" spans="1:14">
      <c r="A9" s="75" t="s">
        <v>24</v>
      </c>
      <c r="B9" s="13">
        <v>1527821</v>
      </c>
      <c r="C9" s="19"/>
      <c r="D9" s="19">
        <f>B9/B15</f>
        <v>0.72575469280271077</v>
      </c>
      <c r="F9" s="21">
        <f>ASSESSMENT!F39*'JULY 1 2014 TSA RATE'!D9</f>
        <v>15404.742537811913</v>
      </c>
      <c r="G9" s="21"/>
      <c r="H9" s="21">
        <f>'TSA Payments-collections'!D69</f>
        <v>-36257.500000000007</v>
      </c>
      <c r="I9" s="21">
        <f>I15*D9</f>
        <v>5125.2796405727431</v>
      </c>
      <c r="J9" s="21">
        <f>F9+H9+I9</f>
        <v>-15727.47782161535</v>
      </c>
      <c r="L9" s="27">
        <v>223477</v>
      </c>
      <c r="N9" s="86">
        <f>J9/L9</f>
        <v>-7.037627058540856E-2</v>
      </c>
    </row>
    <row r="10" spans="1:14">
      <c r="A10" s="75" t="s">
        <v>25</v>
      </c>
      <c r="B10" s="13">
        <v>86025</v>
      </c>
      <c r="C10" s="19"/>
      <c r="D10" s="19">
        <f>B10/B15</f>
        <v>4.0864111337881336E-2</v>
      </c>
      <c r="F10" s="21">
        <f>ASSESSMENT!F39*'JULY 1 2014 TSA RATE'!D10</f>
        <v>867.3745005568519</v>
      </c>
      <c r="G10" s="21"/>
      <c r="H10" s="21">
        <f>'TSA Payments-collections'!G69</f>
        <v>-7395.5599999999995</v>
      </c>
      <c r="I10" s="21">
        <f>I15*D10</f>
        <v>288.58235426811797</v>
      </c>
      <c r="J10" s="21">
        <f>F10+H10+I10</f>
        <v>-6239.6031451750296</v>
      </c>
      <c r="L10" s="27">
        <v>19127</v>
      </c>
      <c r="N10" s="86">
        <f>J10/L10</f>
        <v>-0.32621964475218435</v>
      </c>
    </row>
    <row r="11" spans="1:14">
      <c r="A11" s="75" t="s">
        <v>96</v>
      </c>
      <c r="B11" s="13">
        <v>173431</v>
      </c>
      <c r="C11" s="19"/>
      <c r="D11" s="19">
        <f>(B11+B12)/B15</f>
        <v>0.23338119585940795</v>
      </c>
      <c r="E11" s="22" t="s">
        <v>34</v>
      </c>
      <c r="F11" s="21">
        <f>ASSESSMENT!F39*'JULY 1 2014 TSA RATE'!D11</f>
        <v>4953.7085616312352</v>
      </c>
      <c r="G11" s="21"/>
      <c r="H11" s="21">
        <f>'TSA Payments-collections'!J69</f>
        <v>-23410.959999999995</v>
      </c>
      <c r="I11" s="21">
        <f>I15*D11</f>
        <v>1648.1380051591389</v>
      </c>
      <c r="J11" s="21">
        <f>F11+H11+I11</f>
        <v>-16809.113433209619</v>
      </c>
      <c r="L11" s="28">
        <v>95128</v>
      </c>
      <c r="N11" s="86">
        <f>J11/L11</f>
        <v>-0.17669995619806597</v>
      </c>
    </row>
    <row r="12" spans="1:14">
      <c r="A12" s="75" t="s">
        <v>30</v>
      </c>
      <c r="B12" s="13">
        <f>ASSESSMENT!F22</f>
        <v>317870.94482400001</v>
      </c>
      <c r="C12" s="13"/>
      <c r="D12" s="21"/>
      <c r="F12" s="21"/>
      <c r="G12" s="21"/>
      <c r="H12" s="21"/>
      <c r="I12" s="21"/>
      <c r="J12" s="21"/>
      <c r="N12" s="29"/>
    </row>
    <row r="13" spans="1:14">
      <c r="B13" s="13"/>
      <c r="C13" s="13"/>
      <c r="D13" s="21"/>
      <c r="F13" s="21"/>
      <c r="G13" s="21"/>
      <c r="H13" s="21"/>
      <c r="I13" s="21"/>
      <c r="J13" s="21"/>
    </row>
    <row r="14" spans="1:14">
      <c r="A14" s="75" t="s">
        <v>36</v>
      </c>
      <c r="B14" s="13"/>
      <c r="C14" s="13"/>
      <c r="D14" s="21"/>
      <c r="F14" s="21"/>
      <c r="G14" s="21"/>
      <c r="H14" s="21"/>
      <c r="I14" s="21"/>
      <c r="J14" s="21"/>
    </row>
    <row r="15" spans="1:14">
      <c r="A15" s="75" t="s">
        <v>37</v>
      </c>
      <c r="B15" s="13">
        <f>SUM(B9:B12)</f>
        <v>2105147.9448239999</v>
      </c>
      <c r="C15" s="13"/>
      <c r="D15" s="19">
        <f>SUM(D9:D14)</f>
        <v>1</v>
      </c>
      <c r="F15" s="21">
        <f>SUM(F9:F14)</f>
        <v>21225.8256</v>
      </c>
      <c r="G15" s="21"/>
      <c r="H15" s="21"/>
      <c r="I15" s="13">
        <f>-'Carrying Charges'!D82-'Carrying Charges'!I82</f>
        <v>7062</v>
      </c>
      <c r="J15" s="21"/>
      <c r="L15" s="21">
        <f>SUM(L9:L14)</f>
        <v>337732</v>
      </c>
    </row>
    <row r="16" spans="1:14">
      <c r="B16" s="13"/>
      <c r="C16" s="13"/>
      <c r="D16" s="21"/>
      <c r="F16" s="21"/>
      <c r="G16" s="21"/>
      <c r="H16" s="21"/>
      <c r="I16" s="21"/>
      <c r="J16" s="21"/>
    </row>
    <row r="17" spans="1:10">
      <c r="B17" s="13"/>
      <c r="C17" s="13"/>
      <c r="D17" s="21"/>
      <c r="F17" s="21"/>
      <c r="G17" s="21"/>
      <c r="H17" s="21"/>
      <c r="I17" s="21"/>
      <c r="J17" s="21"/>
    </row>
    <row r="18" spans="1:10">
      <c r="B18" s="13"/>
      <c r="C18" s="13"/>
      <c r="D18" s="21"/>
      <c r="F18" s="21"/>
      <c r="G18" s="21"/>
      <c r="H18" s="21"/>
      <c r="I18" s="21"/>
      <c r="J18" s="21"/>
    </row>
    <row r="19" spans="1:10">
      <c r="B19" s="13"/>
      <c r="C19" s="20"/>
      <c r="D19" s="19"/>
      <c r="F19" s="21"/>
      <c r="G19" s="21"/>
      <c r="H19" s="21"/>
      <c r="I19" s="21"/>
      <c r="J19" s="21"/>
    </row>
    <row r="20" spans="1:10">
      <c r="B20" s="13"/>
      <c r="C20" s="13"/>
      <c r="D20" s="21"/>
    </row>
    <row r="21" spans="1:10">
      <c r="B21" s="13"/>
      <c r="C21" s="13"/>
      <c r="D21" s="21"/>
    </row>
    <row r="22" spans="1:10">
      <c r="A22" s="75" t="s">
        <v>35</v>
      </c>
      <c r="B22" s="13"/>
      <c r="C22" s="13"/>
      <c r="D22" s="21"/>
    </row>
    <row r="23" spans="1:10">
      <c r="B23" s="13"/>
      <c r="C23" s="13"/>
      <c r="D23" s="21"/>
    </row>
    <row r="24" spans="1:10">
      <c r="B24" s="13"/>
      <c r="C24" s="13"/>
    </row>
    <row r="25" spans="1:10">
      <c r="B25" s="13"/>
      <c r="C25" s="13"/>
    </row>
    <row r="26" spans="1:10">
      <c r="B26" s="13"/>
      <c r="C26" s="13"/>
    </row>
    <row r="27" spans="1:10">
      <c r="B27" s="13"/>
      <c r="C27" s="13"/>
    </row>
    <row r="28" spans="1:10">
      <c r="B28" s="13"/>
      <c r="C28" s="13"/>
    </row>
    <row r="29" spans="1:10">
      <c r="B29" s="13"/>
      <c r="C29" s="13"/>
    </row>
    <row r="30" spans="1:10">
      <c r="B30" s="13"/>
      <c r="C30" s="13"/>
    </row>
    <row r="31" spans="1:10">
      <c r="B31" s="13"/>
      <c r="C31" s="13"/>
    </row>
  </sheetData>
  <pageMargins left="0.2" right="0.2" top="1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31"/>
  <sheetViews>
    <sheetView workbookViewId="0">
      <selection activeCell="B15" sqref="B15"/>
    </sheetView>
  </sheetViews>
  <sheetFormatPr defaultRowHeight="15"/>
  <cols>
    <col min="1" max="1" width="34.42578125" customWidth="1"/>
    <col min="2" max="2" width="12" customWidth="1"/>
    <col min="3" max="3" width="2.140625" customWidth="1"/>
    <col min="4" max="4" width="11.5703125" customWidth="1"/>
    <col min="5" max="5" width="2" customWidth="1"/>
    <col min="6" max="6" width="11.42578125" customWidth="1"/>
    <col min="7" max="7" width="2.28515625" customWidth="1"/>
    <col min="8" max="8" width="11.85546875" customWidth="1"/>
    <col min="9" max="9" width="1.7109375" customWidth="1"/>
  </cols>
  <sheetData>
    <row r="1" spans="1:10">
      <c r="D1" s="15"/>
      <c r="H1" s="15" t="s">
        <v>29</v>
      </c>
    </row>
    <row r="2" spans="1:10">
      <c r="A2" s="22" t="str">
        <f>ASSESSMENT!B1</f>
        <v>CASE 09-M-0311</v>
      </c>
    </row>
    <row r="3" spans="1:10">
      <c r="A3" s="22"/>
    </row>
    <row r="4" spans="1:10">
      <c r="A4" s="22" t="str">
        <f>ASSESSMENT!B3</f>
        <v>Valley Energy, Inc.</v>
      </c>
    </row>
    <row r="5" spans="1:10">
      <c r="H5" s="12" t="s">
        <v>44</v>
      </c>
    </row>
    <row r="6" spans="1:10">
      <c r="A6" s="23" t="s">
        <v>23</v>
      </c>
      <c r="D6" s="12" t="s">
        <v>31</v>
      </c>
      <c r="F6" s="12" t="s">
        <v>39</v>
      </c>
      <c r="H6" s="12" t="s">
        <v>21</v>
      </c>
      <c r="I6" s="12"/>
      <c r="J6" s="26" t="s">
        <v>20</v>
      </c>
    </row>
    <row r="7" spans="1:10">
      <c r="D7" s="12" t="s">
        <v>38</v>
      </c>
      <c r="F7" s="12" t="s">
        <v>40</v>
      </c>
      <c r="H7" s="12" t="s">
        <v>42</v>
      </c>
      <c r="I7" s="12"/>
      <c r="J7" s="26" t="s">
        <v>43</v>
      </c>
    </row>
    <row r="8" spans="1:10">
      <c r="D8" s="24" t="s">
        <v>28</v>
      </c>
      <c r="E8" s="25"/>
      <c r="F8" s="24" t="s">
        <v>41</v>
      </c>
      <c r="G8" s="25"/>
      <c r="H8" s="24">
        <v>2013</v>
      </c>
      <c r="I8" s="26"/>
      <c r="J8" s="24" t="s">
        <v>44</v>
      </c>
    </row>
    <row r="9" spans="1:10">
      <c r="A9" t="s">
        <v>24</v>
      </c>
      <c r="B9" s="13">
        <v>1527821</v>
      </c>
      <c r="C9" s="19"/>
      <c r="D9" s="19">
        <f>B9/B15</f>
        <v>0.72575469280271077</v>
      </c>
      <c r="F9" s="21">
        <f>ASSESSMENT!F39*'Rate Calculation'!D9</f>
        <v>15404.742537811913</v>
      </c>
      <c r="H9" s="27">
        <v>223477</v>
      </c>
      <c r="J9" s="29">
        <f>F9/H9</f>
        <v>6.893211622588416E-2</v>
      </c>
    </row>
    <row r="10" spans="1:10">
      <c r="A10" t="s">
        <v>25</v>
      </c>
      <c r="B10" s="13">
        <v>86025</v>
      </c>
      <c r="C10" s="19"/>
      <c r="D10" s="19">
        <f>B10/B15</f>
        <v>4.0864111337881336E-2</v>
      </c>
      <c r="F10" s="21">
        <f>ASSESSMENT!F39*'Rate Calculation'!D10</f>
        <v>867.3745005568519</v>
      </c>
      <c r="H10" s="27">
        <v>19127</v>
      </c>
      <c r="J10" s="29">
        <f>F10/H10</f>
        <v>4.5348172769219007E-2</v>
      </c>
    </row>
    <row r="11" spans="1:10">
      <c r="A11" t="s">
        <v>33</v>
      </c>
      <c r="B11" s="13">
        <v>173431</v>
      </c>
      <c r="C11" s="19"/>
      <c r="D11" s="19">
        <f>(B11+B12)/B15</f>
        <v>0.23338119585940795</v>
      </c>
      <c r="E11" s="22" t="s">
        <v>34</v>
      </c>
      <c r="F11" s="21">
        <f>ASSESSMENT!F39*'Rate Calculation'!D11</f>
        <v>4953.7085616312352</v>
      </c>
      <c r="H11" s="28">
        <v>95128</v>
      </c>
      <c r="J11" s="29">
        <f>F11/H11</f>
        <v>5.207413760019379E-2</v>
      </c>
    </row>
    <row r="12" spans="1:10">
      <c r="A12" t="s">
        <v>30</v>
      </c>
      <c r="B12" s="13">
        <f>ASSESSMENT!F22</f>
        <v>317870.94482400001</v>
      </c>
      <c r="C12" s="13"/>
      <c r="D12" s="21"/>
      <c r="F12" s="21"/>
      <c r="J12" s="29"/>
    </row>
    <row r="13" spans="1:10">
      <c r="B13" s="13"/>
      <c r="C13" s="13"/>
      <c r="D13" s="21"/>
      <c r="F13" s="21"/>
    </row>
    <row r="14" spans="1:10">
      <c r="A14" t="s">
        <v>36</v>
      </c>
      <c r="B14" s="13"/>
      <c r="C14" s="13"/>
      <c r="D14" s="21"/>
      <c r="F14" s="21"/>
    </row>
    <row r="15" spans="1:10">
      <c r="A15" t="s">
        <v>37</v>
      </c>
      <c r="B15" s="13">
        <f>SUM(B9:B12)</f>
        <v>2105147.9448239999</v>
      </c>
      <c r="C15" s="13"/>
      <c r="D15" s="19">
        <f>SUM(D9:D14)</f>
        <v>1</v>
      </c>
      <c r="F15" s="21">
        <f>SUM(F9:F14)</f>
        <v>21225.8256</v>
      </c>
      <c r="H15" s="21">
        <f>SUM(H9:H14)</f>
        <v>337732</v>
      </c>
    </row>
    <row r="16" spans="1:10">
      <c r="B16" s="13"/>
      <c r="C16" s="13"/>
      <c r="D16" s="21"/>
      <c r="F16" s="21"/>
    </row>
    <row r="17" spans="1:6">
      <c r="B17" s="13"/>
      <c r="C17" s="13"/>
      <c r="D17" s="21"/>
      <c r="F17" s="21"/>
    </row>
    <row r="18" spans="1:6">
      <c r="B18" s="13"/>
      <c r="C18" s="13"/>
      <c r="D18" s="21"/>
      <c r="F18" s="21"/>
    </row>
    <row r="19" spans="1:6">
      <c r="B19" s="13"/>
      <c r="C19" s="20"/>
      <c r="D19" s="19"/>
      <c r="F19" s="21"/>
    </row>
    <row r="20" spans="1:6">
      <c r="B20" s="13"/>
      <c r="C20" s="13"/>
      <c r="D20" s="21"/>
    </row>
    <row r="21" spans="1:6">
      <c r="B21" s="13"/>
      <c r="C21" s="13"/>
      <c r="D21" s="21"/>
    </row>
    <row r="22" spans="1:6">
      <c r="A22" t="s">
        <v>35</v>
      </c>
      <c r="B22" s="13"/>
      <c r="C22" s="13"/>
      <c r="D22" s="21"/>
    </row>
    <row r="23" spans="1:6">
      <c r="B23" s="13"/>
      <c r="C23" s="13"/>
      <c r="D23" s="21"/>
    </row>
    <row r="24" spans="1:6">
      <c r="B24" s="13"/>
      <c r="C24" s="13"/>
    </row>
    <row r="25" spans="1:6">
      <c r="B25" s="13"/>
      <c r="C25" s="13"/>
    </row>
    <row r="26" spans="1:6">
      <c r="B26" s="13"/>
      <c r="C26" s="13"/>
    </row>
    <row r="27" spans="1:6">
      <c r="B27" s="13"/>
      <c r="C27" s="13"/>
    </row>
    <row r="28" spans="1:6">
      <c r="B28" s="13"/>
      <c r="C28" s="13"/>
    </row>
    <row r="29" spans="1:6">
      <c r="B29" s="13"/>
      <c r="C29" s="13"/>
    </row>
    <row r="30" spans="1:6">
      <c r="B30" s="13"/>
      <c r="C30" s="13"/>
    </row>
    <row r="31" spans="1:6">
      <c r="B31" s="13"/>
      <c r="C31" s="13"/>
    </row>
  </sheetData>
  <pageMargins left="0.2" right="0.2" top="1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H27"/>
  <sheetViews>
    <sheetView workbookViewId="0">
      <selection activeCell="H2" sqref="H2"/>
    </sheetView>
  </sheetViews>
  <sheetFormatPr defaultRowHeight="15"/>
  <cols>
    <col min="1" max="1" width="17" customWidth="1"/>
    <col min="2" max="2" width="13.140625" style="75" customWidth="1"/>
    <col min="3" max="3" width="2.85546875" style="75" customWidth="1"/>
    <col min="4" max="4" width="10.28515625" customWidth="1"/>
    <col min="5" max="5" width="2.85546875" style="75" customWidth="1"/>
    <col min="6" max="6" width="11.42578125" customWidth="1"/>
    <col min="7" max="7" width="2.85546875" customWidth="1"/>
    <col min="8" max="8" width="17" customWidth="1"/>
    <col min="9" max="9" width="5.28515625" customWidth="1"/>
    <col min="10" max="10" width="38.42578125" customWidth="1"/>
  </cols>
  <sheetData>
    <row r="1" spans="1:8">
      <c r="A1" t="str">
        <f>ASSESSMENT!B1</f>
        <v>CASE 09-M-0311</v>
      </c>
      <c r="H1" s="15" t="s">
        <v>71</v>
      </c>
    </row>
    <row r="2" spans="1:8">
      <c r="H2" s="15"/>
    </row>
    <row r="3" spans="1:8">
      <c r="A3" t="str">
        <f>ASSESSMENT!B3</f>
        <v>Valley Energy, Inc.</v>
      </c>
      <c r="H3" s="15"/>
    </row>
    <row r="5" spans="1:8">
      <c r="A5" s="2" t="s">
        <v>129</v>
      </c>
    </row>
    <row r="6" spans="1:8" s="75" customFormat="1"/>
    <row r="7" spans="1:8">
      <c r="B7" s="12" t="s">
        <v>125</v>
      </c>
      <c r="C7" s="12"/>
      <c r="F7" s="12" t="s">
        <v>21</v>
      </c>
      <c r="G7" s="12"/>
      <c r="H7" s="12" t="s">
        <v>27</v>
      </c>
    </row>
    <row r="8" spans="1:8">
      <c r="A8" t="s">
        <v>19</v>
      </c>
      <c r="B8" s="12" t="s">
        <v>126</v>
      </c>
      <c r="C8" s="12"/>
      <c r="D8" s="5" t="s">
        <v>20</v>
      </c>
      <c r="E8" s="5"/>
      <c r="F8" s="12" t="s">
        <v>26</v>
      </c>
      <c r="G8" s="12"/>
      <c r="H8" s="12" t="s">
        <v>28</v>
      </c>
    </row>
    <row r="9" spans="1:8">
      <c r="D9" s="12" t="s">
        <v>130</v>
      </c>
      <c r="F9" s="12" t="s">
        <v>131</v>
      </c>
      <c r="H9" s="12" t="s">
        <v>132</v>
      </c>
    </row>
    <row r="10" spans="1:8">
      <c r="A10" s="136">
        <v>41275</v>
      </c>
      <c r="B10" s="12">
        <v>112</v>
      </c>
      <c r="C10" s="12"/>
      <c r="D10" s="81">
        <v>3.56839</v>
      </c>
      <c r="E10" s="81"/>
      <c r="F10" s="82">
        <v>12523.5</v>
      </c>
      <c r="H10" s="14">
        <f t="shared" ref="H10:H21" si="0">D10*F10</f>
        <v>44688.732165000001</v>
      </c>
    </row>
    <row r="11" spans="1:8">
      <c r="A11" s="136">
        <v>41306</v>
      </c>
      <c r="B11" s="12">
        <v>113</v>
      </c>
      <c r="C11" s="12"/>
      <c r="D11" s="81">
        <v>3.0308000000000002</v>
      </c>
      <c r="E11" s="81"/>
      <c r="F11" s="82">
        <v>12029</v>
      </c>
      <c r="H11" s="14">
        <f t="shared" si="0"/>
        <v>36457.493200000004</v>
      </c>
    </row>
    <row r="12" spans="1:8">
      <c r="A12" s="136">
        <v>41334</v>
      </c>
      <c r="B12" s="12">
        <v>114</v>
      </c>
      <c r="C12" s="12"/>
      <c r="D12" s="81">
        <v>2.6694900000000001</v>
      </c>
      <c r="E12" s="81"/>
      <c r="F12" s="82">
        <v>9857.7999999999993</v>
      </c>
      <c r="H12" s="14">
        <f t="shared" si="0"/>
        <v>26315.298522000001</v>
      </c>
    </row>
    <row r="13" spans="1:8">
      <c r="A13" s="136">
        <v>41365</v>
      </c>
      <c r="B13" s="12">
        <v>115</v>
      </c>
      <c r="C13" s="12"/>
      <c r="D13" s="81">
        <v>3.7822399999999998</v>
      </c>
      <c r="E13" s="81"/>
      <c r="F13" s="82">
        <v>7026.7</v>
      </c>
      <c r="H13" s="14">
        <f t="shared" si="0"/>
        <v>26576.665807999998</v>
      </c>
    </row>
    <row r="14" spans="1:8">
      <c r="A14" s="136">
        <v>41395</v>
      </c>
      <c r="B14" s="12">
        <v>116</v>
      </c>
      <c r="C14" s="12"/>
      <c r="D14" s="81">
        <v>3.92516</v>
      </c>
      <c r="E14" s="81"/>
      <c r="F14" s="82">
        <v>6884.4</v>
      </c>
      <c r="H14" s="14">
        <f t="shared" si="0"/>
        <v>27022.371503999999</v>
      </c>
    </row>
    <row r="15" spans="1:8">
      <c r="A15" s="136">
        <v>41426</v>
      </c>
      <c r="B15" s="12">
        <v>117</v>
      </c>
      <c r="C15" s="12"/>
      <c r="D15" s="81">
        <v>3.1617799999999998</v>
      </c>
      <c r="E15" s="81"/>
      <c r="F15" s="82">
        <v>5325.5</v>
      </c>
      <c r="H15" s="14">
        <f t="shared" si="0"/>
        <v>16838.059389999999</v>
      </c>
    </row>
    <row r="16" spans="1:8">
      <c r="A16" s="136">
        <v>41456</v>
      </c>
      <c r="B16" s="12">
        <v>118</v>
      </c>
      <c r="C16" s="12"/>
      <c r="D16" s="81">
        <v>3.2176900000000002</v>
      </c>
      <c r="E16" s="81"/>
      <c r="F16" s="82">
        <v>4809.7</v>
      </c>
      <c r="H16" s="14">
        <f t="shared" si="0"/>
        <v>15476.123593</v>
      </c>
    </row>
    <row r="17" spans="1:8">
      <c r="A17" s="136">
        <v>41487</v>
      </c>
      <c r="B17" s="12">
        <v>119</v>
      </c>
      <c r="C17" s="12"/>
      <c r="D17" s="81">
        <v>3.28159</v>
      </c>
      <c r="E17" s="81"/>
      <c r="F17" s="82">
        <v>4646.7</v>
      </c>
      <c r="H17" s="14">
        <f t="shared" si="0"/>
        <v>15248.564252999999</v>
      </c>
    </row>
    <row r="18" spans="1:8">
      <c r="A18" s="136">
        <v>41518</v>
      </c>
      <c r="B18" s="12">
        <v>120</v>
      </c>
      <c r="C18" s="12"/>
      <c r="D18" s="81">
        <v>3.1214900000000001</v>
      </c>
      <c r="E18" s="81"/>
      <c r="F18" s="82">
        <v>4640.5</v>
      </c>
      <c r="H18" s="14">
        <f t="shared" si="0"/>
        <v>14485.274345</v>
      </c>
    </row>
    <row r="19" spans="1:8">
      <c r="A19" s="136">
        <v>41548</v>
      </c>
      <c r="B19" s="12">
        <v>121</v>
      </c>
      <c r="C19" s="12"/>
      <c r="D19" s="81">
        <v>3.4393099999999999</v>
      </c>
      <c r="E19" s="81"/>
      <c r="F19" s="82">
        <v>7281.6</v>
      </c>
      <c r="H19" s="14">
        <f t="shared" si="0"/>
        <v>25043.679695999999</v>
      </c>
    </row>
    <row r="20" spans="1:8">
      <c r="A20" s="136">
        <v>41579</v>
      </c>
      <c r="B20" s="12">
        <v>122</v>
      </c>
      <c r="C20" s="12"/>
      <c r="D20" s="81">
        <v>3.3946399999999999</v>
      </c>
      <c r="E20" s="81"/>
      <c r="F20" s="82">
        <v>9119.1</v>
      </c>
      <c r="H20" s="14">
        <f t="shared" si="0"/>
        <v>30956.061624000002</v>
      </c>
    </row>
    <row r="21" spans="1:8">
      <c r="A21" s="136">
        <v>41609</v>
      </c>
      <c r="B21" s="12">
        <v>123</v>
      </c>
      <c r="C21" s="12"/>
      <c r="D21" s="81">
        <v>3.5945900000000002</v>
      </c>
      <c r="E21" s="81"/>
      <c r="F21" s="135">
        <v>10783.6</v>
      </c>
      <c r="H21" s="134">
        <f t="shared" si="0"/>
        <v>38762.620724</v>
      </c>
    </row>
    <row r="22" spans="1:8">
      <c r="D22" s="81"/>
      <c r="E22" s="81"/>
      <c r="F22" s="82"/>
    </row>
    <row r="23" spans="1:8">
      <c r="D23" s="81">
        <f>AVERAGE(D10:D21)</f>
        <v>3.3489308333333341</v>
      </c>
      <c r="E23" s="81"/>
      <c r="F23" s="132">
        <f>SUM(F10:F22)</f>
        <v>94928.1</v>
      </c>
      <c r="H23" s="133">
        <f>SUM(H10:H22)</f>
        <v>317870.94482400001</v>
      </c>
    </row>
    <row r="26" spans="1:8">
      <c r="A26" t="s">
        <v>127</v>
      </c>
    </row>
    <row r="27" spans="1:8">
      <c r="A27" t="s">
        <v>128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E77"/>
  <sheetViews>
    <sheetView topLeftCell="A40" workbookViewId="0">
      <selection activeCell="E1" sqref="E1"/>
    </sheetView>
  </sheetViews>
  <sheetFormatPr defaultRowHeight="15"/>
  <cols>
    <col min="1" max="1" width="13.42578125" customWidth="1"/>
    <col min="2" max="2" width="16.28515625" customWidth="1"/>
    <col min="3" max="3" width="19.28515625" customWidth="1"/>
    <col min="4" max="4" width="16.28515625" customWidth="1"/>
    <col min="5" max="5" width="19.85546875" customWidth="1"/>
  </cols>
  <sheetData>
    <row r="1" spans="1:5">
      <c r="A1" t="str">
        <f>ASSESSMENT!B1</f>
        <v>CASE 09-M-0311</v>
      </c>
      <c r="E1" s="15" t="s">
        <v>72</v>
      </c>
    </row>
    <row r="2" spans="1:5" ht="20.25">
      <c r="A2" s="218" t="s">
        <v>74</v>
      </c>
      <c r="B2" s="218"/>
      <c r="C2" s="218"/>
      <c r="D2" s="218"/>
    </row>
    <row r="3" spans="1:5">
      <c r="A3" s="60" t="s">
        <v>75</v>
      </c>
      <c r="B3" s="60"/>
      <c r="C3" s="60"/>
      <c r="D3" s="60"/>
      <c r="E3" s="17"/>
    </row>
    <row r="4" spans="1:5">
      <c r="A4" s="219"/>
      <c r="B4" s="219"/>
      <c r="C4" s="219"/>
      <c r="D4" s="219"/>
      <c r="E4" s="16"/>
    </row>
    <row r="5" spans="1:5">
      <c r="A5" s="219" t="s">
        <v>76</v>
      </c>
      <c r="B5" s="219"/>
      <c r="C5" s="219"/>
      <c r="D5" s="219"/>
    </row>
    <row r="6" spans="1:5">
      <c r="A6" s="32"/>
      <c r="B6" s="33"/>
      <c r="C6" s="33"/>
      <c r="D6" s="33"/>
      <c r="E6" s="31"/>
    </row>
    <row r="7" spans="1:5">
      <c r="A7" s="38" t="s">
        <v>87</v>
      </c>
      <c r="B7" s="33"/>
      <c r="C7" s="33"/>
      <c r="D7" s="33"/>
      <c r="E7" s="31"/>
    </row>
    <row r="8" spans="1:5">
      <c r="A8" s="36"/>
      <c r="B8" s="66" t="s">
        <v>78</v>
      </c>
      <c r="C8" s="66" t="s">
        <v>88</v>
      </c>
      <c r="D8" s="66" t="s">
        <v>77</v>
      </c>
      <c r="E8" s="67"/>
    </row>
    <row r="9" spans="1:5">
      <c r="A9" s="59" t="s">
        <v>79</v>
      </c>
      <c r="B9" s="68" t="s">
        <v>82</v>
      </c>
      <c r="C9" s="68" t="s">
        <v>80</v>
      </c>
      <c r="D9" s="68" t="s">
        <v>81</v>
      </c>
      <c r="E9" s="69" t="s">
        <v>47</v>
      </c>
    </row>
    <row r="10" spans="1:5">
      <c r="A10" s="37"/>
      <c r="B10" s="70" t="s">
        <v>83</v>
      </c>
      <c r="C10" s="70"/>
      <c r="D10" s="70"/>
      <c r="E10" s="71"/>
    </row>
    <row r="11" spans="1:5">
      <c r="A11" s="34">
        <v>39933</v>
      </c>
      <c r="B11" s="58">
        <v>0</v>
      </c>
      <c r="C11" s="58">
        <v>0</v>
      </c>
      <c r="D11" s="58">
        <v>0</v>
      </c>
      <c r="E11" s="35">
        <f t="shared" ref="E11:E73" si="0">B11+C11+D11</f>
        <v>0</v>
      </c>
    </row>
    <row r="12" spans="1:5">
      <c r="A12" s="34">
        <f>A11+30</f>
        <v>39963</v>
      </c>
      <c r="B12" s="58">
        <v>0</v>
      </c>
      <c r="C12" s="58">
        <v>0</v>
      </c>
      <c r="D12" s="58">
        <v>0</v>
      </c>
      <c r="E12" s="35">
        <f t="shared" si="0"/>
        <v>0</v>
      </c>
    </row>
    <row r="13" spans="1:5">
      <c r="A13" s="34">
        <f t="shared" ref="A13:A30" si="1">A12+30</f>
        <v>39993</v>
      </c>
      <c r="B13" s="58">
        <v>0</v>
      </c>
      <c r="C13" s="58">
        <v>0</v>
      </c>
      <c r="D13" s="58">
        <v>0</v>
      </c>
      <c r="E13" s="35">
        <f t="shared" si="0"/>
        <v>0</v>
      </c>
    </row>
    <row r="14" spans="1:5">
      <c r="A14" s="34">
        <f t="shared" si="1"/>
        <v>40023</v>
      </c>
      <c r="B14" s="58">
        <v>614.59</v>
      </c>
      <c r="C14" s="58">
        <v>168.61</v>
      </c>
      <c r="D14" s="58">
        <v>695.32</v>
      </c>
      <c r="E14" s="35">
        <f t="shared" si="0"/>
        <v>1478.52</v>
      </c>
    </row>
    <row r="15" spans="1:5">
      <c r="A15" s="34">
        <f t="shared" si="1"/>
        <v>40053</v>
      </c>
      <c r="B15" s="58">
        <v>563.63</v>
      </c>
      <c r="C15" s="58">
        <v>173.68</v>
      </c>
      <c r="D15" s="58">
        <v>672.39</v>
      </c>
      <c r="E15" s="35">
        <f t="shared" si="0"/>
        <v>1409.6999999999998</v>
      </c>
    </row>
    <row r="16" spans="1:5">
      <c r="A16" s="34">
        <f t="shared" si="1"/>
        <v>40083</v>
      </c>
      <c r="B16" s="58">
        <v>678.59</v>
      </c>
      <c r="C16" s="58">
        <v>199.52</v>
      </c>
      <c r="D16" s="58">
        <v>908.59</v>
      </c>
      <c r="E16" s="35">
        <f t="shared" si="0"/>
        <v>1786.7</v>
      </c>
    </row>
    <row r="17" spans="1:5">
      <c r="A17" s="34">
        <f t="shared" si="1"/>
        <v>40113</v>
      </c>
      <c r="B17" s="58">
        <v>1922.82</v>
      </c>
      <c r="C17" s="58">
        <v>231.21</v>
      </c>
      <c r="D17" s="58">
        <v>1116.77</v>
      </c>
      <c r="E17" s="35">
        <f t="shared" si="0"/>
        <v>3270.7999999999997</v>
      </c>
    </row>
    <row r="18" spans="1:5">
      <c r="A18" s="34">
        <f t="shared" si="1"/>
        <v>40143</v>
      </c>
      <c r="B18" s="58">
        <v>2730.53</v>
      </c>
      <c r="C18" s="58">
        <v>271.26</v>
      </c>
      <c r="D18" s="58">
        <v>1333.76</v>
      </c>
      <c r="E18" s="35">
        <f t="shared" si="0"/>
        <v>4335.55</v>
      </c>
    </row>
    <row r="19" spans="1:5">
      <c r="A19" s="34">
        <f t="shared" si="1"/>
        <v>40173</v>
      </c>
      <c r="B19" s="58">
        <v>4959.33</v>
      </c>
      <c r="C19" s="58">
        <v>315.43</v>
      </c>
      <c r="D19" s="58">
        <v>1761.46</v>
      </c>
      <c r="E19" s="35">
        <f t="shared" si="0"/>
        <v>7036.22</v>
      </c>
    </row>
    <row r="20" spans="1:5">
      <c r="A20" s="34">
        <f t="shared" si="1"/>
        <v>40203</v>
      </c>
      <c r="B20" s="58">
        <v>6810.37</v>
      </c>
      <c r="C20" s="58">
        <v>449.89</v>
      </c>
      <c r="D20" s="58">
        <v>2257.4299999999998</v>
      </c>
      <c r="E20" s="35">
        <f t="shared" si="0"/>
        <v>9517.69</v>
      </c>
    </row>
    <row r="21" spans="1:5">
      <c r="A21" s="34">
        <f t="shared" si="1"/>
        <v>40233</v>
      </c>
      <c r="B21" s="58">
        <v>6856.09</v>
      </c>
      <c r="C21" s="58">
        <v>437.08</v>
      </c>
      <c r="D21" s="58">
        <v>2096.9499999999998</v>
      </c>
      <c r="E21" s="35">
        <f t="shared" si="0"/>
        <v>9390.119999999999</v>
      </c>
    </row>
    <row r="22" spans="1:5">
      <c r="A22" s="34">
        <f t="shared" si="1"/>
        <v>40263</v>
      </c>
      <c r="B22" s="58">
        <v>4867.03</v>
      </c>
      <c r="C22" s="58">
        <v>347.42</v>
      </c>
      <c r="D22" s="58">
        <v>1545.7</v>
      </c>
      <c r="E22" s="35">
        <f t="shared" si="0"/>
        <v>6760.15</v>
      </c>
    </row>
    <row r="23" spans="1:5">
      <c r="A23" s="34">
        <f t="shared" si="1"/>
        <v>40293</v>
      </c>
      <c r="B23" s="58">
        <v>2406.2199999999998</v>
      </c>
      <c r="C23" s="58">
        <v>271.47000000000003</v>
      </c>
      <c r="D23" s="58">
        <v>967.33</v>
      </c>
      <c r="E23" s="35">
        <f t="shared" si="0"/>
        <v>3645.0199999999995</v>
      </c>
    </row>
    <row r="24" spans="1:5">
      <c r="A24" s="34">
        <f t="shared" si="1"/>
        <v>40323</v>
      </c>
      <c r="B24" s="58">
        <v>1556.23</v>
      </c>
      <c r="C24" s="58">
        <v>212.13</v>
      </c>
      <c r="D24" s="58">
        <v>859.9</v>
      </c>
      <c r="E24" s="35">
        <f t="shared" si="0"/>
        <v>2628.26</v>
      </c>
    </row>
    <row r="25" spans="1:5">
      <c r="A25" s="34">
        <f t="shared" si="1"/>
        <v>40353</v>
      </c>
      <c r="B25" s="58">
        <v>702.69</v>
      </c>
      <c r="C25" s="58">
        <v>199.99</v>
      </c>
      <c r="D25" s="58">
        <v>888.26</v>
      </c>
      <c r="E25" s="35">
        <f t="shared" si="0"/>
        <v>1790.94</v>
      </c>
    </row>
    <row r="26" spans="1:5">
      <c r="A26" s="34">
        <f t="shared" si="1"/>
        <v>40383</v>
      </c>
      <c r="B26" s="58">
        <v>598.04999999999995</v>
      </c>
      <c r="C26" s="58">
        <v>124.53</v>
      </c>
      <c r="D26" s="58">
        <v>641.42999999999995</v>
      </c>
      <c r="E26" s="35">
        <f t="shared" si="0"/>
        <v>1364.0099999999998</v>
      </c>
    </row>
    <row r="27" spans="1:5">
      <c r="A27" s="34">
        <f t="shared" si="1"/>
        <v>40413</v>
      </c>
      <c r="B27" s="58">
        <v>576.73</v>
      </c>
      <c r="C27" s="58">
        <v>116.43</v>
      </c>
      <c r="D27" s="58">
        <v>855.08</v>
      </c>
      <c r="E27" s="35">
        <f t="shared" si="0"/>
        <v>1548.2400000000002</v>
      </c>
    </row>
    <row r="28" spans="1:5">
      <c r="A28" s="34">
        <f t="shared" si="1"/>
        <v>40443</v>
      </c>
      <c r="B28" s="58">
        <v>697.18</v>
      </c>
      <c r="C28" s="58">
        <v>170.87</v>
      </c>
      <c r="D28" s="58">
        <v>845.21</v>
      </c>
      <c r="E28" s="35">
        <f t="shared" si="0"/>
        <v>1713.26</v>
      </c>
    </row>
    <row r="29" spans="1:5">
      <c r="A29" s="34">
        <f t="shared" si="1"/>
        <v>40473</v>
      </c>
      <c r="B29" s="58">
        <v>1724.3</v>
      </c>
      <c r="C29" s="58">
        <v>218.99</v>
      </c>
      <c r="D29" s="58">
        <v>954.86</v>
      </c>
      <c r="E29" s="35">
        <f t="shared" si="0"/>
        <v>2898.15</v>
      </c>
    </row>
    <row r="30" spans="1:5">
      <c r="A30" s="34">
        <f t="shared" si="1"/>
        <v>40503</v>
      </c>
      <c r="B30" s="58">
        <v>3487.95</v>
      </c>
      <c r="C30" s="58">
        <v>266.62</v>
      </c>
      <c r="D30" s="58">
        <v>1216.3800000000001</v>
      </c>
      <c r="E30" s="35">
        <f t="shared" si="0"/>
        <v>4970.95</v>
      </c>
    </row>
    <row r="31" spans="1:5">
      <c r="A31" s="34">
        <f>A30+30</f>
        <v>40533</v>
      </c>
      <c r="B31" s="58">
        <v>6497.34</v>
      </c>
      <c r="C31" s="58">
        <v>346.42</v>
      </c>
      <c r="D31" s="58">
        <v>2097.61</v>
      </c>
      <c r="E31" s="35">
        <f t="shared" si="0"/>
        <v>8941.3700000000008</v>
      </c>
    </row>
    <row r="32" spans="1:5">
      <c r="A32" s="34">
        <f>A31+30</f>
        <v>40563</v>
      </c>
      <c r="B32" s="58">
        <v>7173.92</v>
      </c>
      <c r="C32" s="58">
        <v>512.69000000000005</v>
      </c>
      <c r="D32" s="58">
        <v>2362.7199999999998</v>
      </c>
      <c r="E32" s="35">
        <f t="shared" si="0"/>
        <v>10049.33</v>
      </c>
    </row>
    <row r="33" spans="1:5">
      <c r="A33" s="34">
        <f t="shared" ref="A33:A47" si="2">A32+30</f>
        <v>40593</v>
      </c>
      <c r="B33" s="58">
        <v>7100.5</v>
      </c>
      <c r="C33" s="58">
        <v>470.88</v>
      </c>
      <c r="D33" s="58">
        <v>2198</v>
      </c>
      <c r="E33" s="35">
        <f t="shared" si="0"/>
        <v>9769.380000000001</v>
      </c>
    </row>
    <row r="34" spans="1:5">
      <c r="A34" s="34">
        <f t="shared" si="2"/>
        <v>40623</v>
      </c>
      <c r="B34" s="58">
        <v>5585.08</v>
      </c>
      <c r="C34" s="58">
        <v>368.94</v>
      </c>
      <c r="D34" s="58">
        <v>1859.61</v>
      </c>
      <c r="E34" s="35">
        <f t="shared" si="0"/>
        <v>7813.6299999999992</v>
      </c>
    </row>
    <row r="35" spans="1:5">
      <c r="A35" s="34">
        <f t="shared" si="2"/>
        <v>40653</v>
      </c>
      <c r="B35" s="58">
        <v>3900.95</v>
      </c>
      <c r="C35" s="58">
        <v>366.06</v>
      </c>
      <c r="D35" s="58">
        <v>1141.07</v>
      </c>
      <c r="E35" s="35">
        <f t="shared" si="0"/>
        <v>5408.08</v>
      </c>
    </row>
    <row r="36" spans="1:5">
      <c r="A36" s="34">
        <f t="shared" si="2"/>
        <v>40683</v>
      </c>
      <c r="B36" s="58">
        <v>4581.6400000000003</v>
      </c>
      <c r="C36" s="58">
        <v>250.53</v>
      </c>
      <c r="D36" s="58">
        <v>960.37</v>
      </c>
      <c r="E36" s="35">
        <f t="shared" si="0"/>
        <v>5792.54</v>
      </c>
    </row>
    <row r="37" spans="1:5">
      <c r="A37" s="34">
        <f t="shared" si="2"/>
        <v>40713</v>
      </c>
      <c r="B37" s="58">
        <v>-2589.4</v>
      </c>
      <c r="C37" s="58">
        <v>230.89</v>
      </c>
      <c r="D37" s="58">
        <v>903.45</v>
      </c>
      <c r="E37" s="35">
        <f t="shared" si="0"/>
        <v>-1455.0600000000002</v>
      </c>
    </row>
    <row r="38" spans="1:5">
      <c r="A38" s="34">
        <f t="shared" si="2"/>
        <v>40743</v>
      </c>
      <c r="B38" s="58">
        <v>498.99</v>
      </c>
      <c r="C38" s="58">
        <v>149.30000000000001</v>
      </c>
      <c r="D38" s="58">
        <v>799.58</v>
      </c>
      <c r="E38" s="35">
        <f t="shared" si="0"/>
        <v>1447.87</v>
      </c>
    </row>
    <row r="39" spans="1:5">
      <c r="A39" s="34">
        <f t="shared" si="2"/>
        <v>40773</v>
      </c>
      <c r="B39" s="58">
        <v>566.36</v>
      </c>
      <c r="C39" s="58">
        <v>214.05</v>
      </c>
      <c r="D39" s="58">
        <v>1012.23</v>
      </c>
      <c r="E39" s="35">
        <f t="shared" si="0"/>
        <v>1792.64</v>
      </c>
    </row>
    <row r="40" spans="1:5">
      <c r="A40" s="34">
        <f t="shared" si="2"/>
        <v>40803</v>
      </c>
      <c r="B40" s="58">
        <v>744.47</v>
      </c>
      <c r="C40" s="58">
        <v>261.98</v>
      </c>
      <c r="D40" s="58">
        <v>844.42</v>
      </c>
      <c r="E40" s="35">
        <f t="shared" si="0"/>
        <v>1850.87</v>
      </c>
    </row>
    <row r="41" spans="1:5">
      <c r="A41" s="34">
        <f t="shared" si="2"/>
        <v>40833</v>
      </c>
      <c r="B41" s="58">
        <v>1635.32</v>
      </c>
      <c r="C41" s="58">
        <v>319.27999999999997</v>
      </c>
      <c r="D41" s="58">
        <v>947.31</v>
      </c>
      <c r="E41" s="35">
        <f t="shared" si="0"/>
        <v>2901.91</v>
      </c>
    </row>
    <row r="42" spans="1:5">
      <c r="A42" s="34">
        <f t="shared" si="2"/>
        <v>40863</v>
      </c>
      <c r="B42" s="58">
        <v>3625.23</v>
      </c>
      <c r="C42" s="58">
        <v>435.14</v>
      </c>
      <c r="D42" s="58">
        <v>1206.8499999999999</v>
      </c>
      <c r="E42" s="35">
        <f t="shared" si="0"/>
        <v>5267.2199999999993</v>
      </c>
    </row>
    <row r="43" spans="1:5">
      <c r="A43" s="34">
        <f t="shared" si="2"/>
        <v>40893</v>
      </c>
      <c r="B43" s="58">
        <v>4708.2299999999996</v>
      </c>
      <c r="C43" s="58">
        <v>358.38</v>
      </c>
      <c r="D43" s="58">
        <v>1471.02</v>
      </c>
      <c r="E43" s="35">
        <f t="shared" si="0"/>
        <v>6537.6299999999992</v>
      </c>
    </row>
    <row r="44" spans="1:5">
      <c r="A44" s="34">
        <f t="shared" si="2"/>
        <v>40923</v>
      </c>
      <c r="B44" s="58">
        <v>5903.2</v>
      </c>
      <c r="C44" s="58">
        <v>411.58</v>
      </c>
      <c r="D44" s="58">
        <v>2239.37</v>
      </c>
      <c r="E44" s="35">
        <f t="shared" si="0"/>
        <v>8554.15</v>
      </c>
    </row>
    <row r="45" spans="1:5">
      <c r="A45" s="34">
        <f t="shared" si="2"/>
        <v>40953</v>
      </c>
      <c r="B45" s="58">
        <v>5581.37</v>
      </c>
      <c r="C45" s="58">
        <v>391.1</v>
      </c>
      <c r="D45" s="58">
        <v>2064.17</v>
      </c>
      <c r="E45" s="35">
        <f t="shared" si="0"/>
        <v>8036.64</v>
      </c>
    </row>
    <row r="46" spans="1:5">
      <c r="A46" s="34">
        <f t="shared" si="2"/>
        <v>40983</v>
      </c>
      <c r="B46" s="58">
        <v>3615.63</v>
      </c>
      <c r="C46" s="58">
        <v>372.68</v>
      </c>
      <c r="D46" s="58">
        <v>1594</v>
      </c>
      <c r="E46" s="35">
        <f t="shared" si="0"/>
        <v>5582.3099999999995</v>
      </c>
    </row>
    <row r="47" spans="1:5">
      <c r="A47" s="34">
        <f t="shared" si="2"/>
        <v>41013</v>
      </c>
      <c r="B47" s="58">
        <v>2811.98</v>
      </c>
      <c r="C47" s="58">
        <v>275.45</v>
      </c>
      <c r="D47" s="58">
        <v>1335.8</v>
      </c>
      <c r="E47" s="35">
        <f t="shared" si="0"/>
        <v>4423.2299999999996</v>
      </c>
    </row>
    <row r="48" spans="1:5">
      <c r="A48" s="34">
        <f>A47+30</f>
        <v>41043</v>
      </c>
      <c r="B48" s="58">
        <v>1485.06</v>
      </c>
      <c r="C48" s="58">
        <v>279.10000000000002</v>
      </c>
      <c r="D48" s="58">
        <v>1100.98</v>
      </c>
      <c r="E48" s="35">
        <f t="shared" si="0"/>
        <v>2865.14</v>
      </c>
    </row>
    <row r="49" spans="1:5">
      <c r="A49" s="34">
        <f t="shared" ref="A49:A73" si="3">A48+30</f>
        <v>41073</v>
      </c>
      <c r="B49" s="58">
        <v>737.62</v>
      </c>
      <c r="C49" s="58">
        <v>245.82</v>
      </c>
      <c r="D49" s="58">
        <v>954.99</v>
      </c>
      <c r="E49" s="35">
        <f t="shared" si="0"/>
        <v>1938.43</v>
      </c>
    </row>
    <row r="50" spans="1:5">
      <c r="A50" s="34">
        <f t="shared" si="3"/>
        <v>41103</v>
      </c>
      <c r="B50" s="58">
        <v>507.72</v>
      </c>
      <c r="C50" s="58">
        <v>205.27</v>
      </c>
      <c r="D50" s="58">
        <v>962.91</v>
      </c>
      <c r="E50" s="35">
        <f t="shared" si="0"/>
        <v>1675.9</v>
      </c>
    </row>
    <row r="51" spans="1:5">
      <c r="A51" s="34">
        <f t="shared" si="3"/>
        <v>41133</v>
      </c>
      <c r="B51" s="58">
        <v>549.04</v>
      </c>
      <c r="C51" s="58">
        <v>206.39</v>
      </c>
      <c r="D51" s="58">
        <v>796.95</v>
      </c>
      <c r="E51" s="35">
        <f t="shared" si="0"/>
        <v>1552.38</v>
      </c>
    </row>
    <row r="52" spans="1:5">
      <c r="A52" s="34">
        <f t="shared" si="3"/>
        <v>41163</v>
      </c>
      <c r="B52" s="58">
        <v>694.98</v>
      </c>
      <c r="C52" s="58">
        <v>240.88</v>
      </c>
      <c r="D52" s="58">
        <v>722.36</v>
      </c>
      <c r="E52" s="35">
        <f t="shared" si="0"/>
        <v>1658.22</v>
      </c>
    </row>
    <row r="53" spans="1:5">
      <c r="A53" s="34">
        <f t="shared" si="3"/>
        <v>41193</v>
      </c>
      <c r="B53" s="58">
        <v>1670.91</v>
      </c>
      <c r="C53" s="58">
        <v>290.39</v>
      </c>
      <c r="D53" s="58">
        <v>836.71</v>
      </c>
      <c r="E53" s="35">
        <f t="shared" si="0"/>
        <v>2798.01</v>
      </c>
    </row>
    <row r="54" spans="1:5">
      <c r="A54" s="34">
        <f t="shared" si="3"/>
        <v>41223</v>
      </c>
      <c r="B54" s="58">
        <v>4243.66</v>
      </c>
      <c r="C54" s="58">
        <v>304.01</v>
      </c>
      <c r="D54" s="58">
        <v>1560.24</v>
      </c>
      <c r="E54" s="35">
        <f t="shared" si="0"/>
        <v>6107.91</v>
      </c>
    </row>
    <row r="55" spans="1:5">
      <c r="A55" s="34">
        <f t="shared" si="3"/>
        <v>41253</v>
      </c>
      <c r="B55" s="58">
        <v>5160.97</v>
      </c>
      <c r="C55" s="58">
        <v>324.83999999999997</v>
      </c>
      <c r="D55" s="58">
        <v>1576.88</v>
      </c>
      <c r="E55" s="35">
        <f t="shared" si="0"/>
        <v>7062.6900000000005</v>
      </c>
    </row>
    <row r="56" spans="1:5">
      <c r="A56" s="34">
        <f t="shared" si="3"/>
        <v>41283</v>
      </c>
      <c r="B56" s="58">
        <v>5851.18</v>
      </c>
      <c r="C56" s="58">
        <v>363.67</v>
      </c>
      <c r="D56" s="58">
        <v>2091.42</v>
      </c>
      <c r="E56" s="35">
        <f t="shared" si="0"/>
        <v>8306.27</v>
      </c>
    </row>
    <row r="57" spans="1:5">
      <c r="A57" s="34">
        <f t="shared" si="3"/>
        <v>41313</v>
      </c>
      <c r="B57" s="58">
        <v>7546.56</v>
      </c>
      <c r="C57" s="58">
        <v>420.56</v>
      </c>
      <c r="D57" s="58">
        <v>2008.84</v>
      </c>
      <c r="E57" s="35">
        <f t="shared" si="0"/>
        <v>9975.9600000000009</v>
      </c>
    </row>
    <row r="58" spans="1:5">
      <c r="A58" s="34">
        <f t="shared" si="3"/>
        <v>41343</v>
      </c>
      <c r="B58" s="58">
        <v>6109.56</v>
      </c>
      <c r="C58" s="58">
        <v>345.13</v>
      </c>
      <c r="D58" s="58">
        <v>1646.26</v>
      </c>
      <c r="E58" s="35">
        <f t="shared" si="0"/>
        <v>8100.9500000000007</v>
      </c>
    </row>
    <row r="59" spans="1:5">
      <c r="A59" s="34">
        <f t="shared" si="3"/>
        <v>41373</v>
      </c>
      <c r="B59" s="58">
        <v>3509.48</v>
      </c>
      <c r="C59" s="58">
        <v>283.3</v>
      </c>
      <c r="D59" s="58">
        <v>1173.46</v>
      </c>
      <c r="E59" s="35">
        <f t="shared" si="0"/>
        <v>4966.24</v>
      </c>
    </row>
    <row r="60" spans="1:5">
      <c r="A60" s="34">
        <f t="shared" si="3"/>
        <v>41403</v>
      </c>
      <c r="B60" s="58">
        <v>1297.93</v>
      </c>
      <c r="C60" s="58">
        <v>275.83999999999997</v>
      </c>
      <c r="D60" s="58">
        <v>1149.7</v>
      </c>
      <c r="E60" s="35">
        <f t="shared" si="0"/>
        <v>2723.4700000000003</v>
      </c>
    </row>
    <row r="61" spans="1:5">
      <c r="A61" s="34">
        <f t="shared" si="3"/>
        <v>41433</v>
      </c>
      <c r="B61" s="58">
        <v>938.46</v>
      </c>
      <c r="C61" s="58">
        <v>263.32</v>
      </c>
      <c r="D61" s="58">
        <v>889.36</v>
      </c>
      <c r="E61" s="35">
        <f t="shared" si="0"/>
        <v>2091.14</v>
      </c>
    </row>
    <row r="62" spans="1:5">
      <c r="A62" s="34">
        <f t="shared" si="3"/>
        <v>41463</v>
      </c>
      <c r="B62" s="58">
        <v>550.79</v>
      </c>
      <c r="C62" s="58">
        <v>243.18</v>
      </c>
      <c r="D62" s="58">
        <v>803.21</v>
      </c>
      <c r="E62" s="35">
        <f t="shared" si="0"/>
        <v>1597.18</v>
      </c>
    </row>
    <row r="63" spans="1:5">
      <c r="A63" s="34">
        <f t="shared" si="3"/>
        <v>41493</v>
      </c>
      <c r="B63" s="58">
        <v>594.78</v>
      </c>
      <c r="C63" s="58">
        <v>98.76</v>
      </c>
      <c r="D63" s="58">
        <v>775.99</v>
      </c>
      <c r="E63" s="35">
        <f t="shared" si="0"/>
        <v>1469.53</v>
      </c>
    </row>
    <row r="64" spans="1:5">
      <c r="A64" s="72">
        <f t="shared" si="3"/>
        <v>41523</v>
      </c>
      <c r="B64" s="73">
        <v>719.16</v>
      </c>
      <c r="C64" s="73">
        <v>270.20999999999998</v>
      </c>
      <c r="D64" s="73">
        <v>774.96</v>
      </c>
      <c r="E64" s="74">
        <f t="shared" si="0"/>
        <v>1764.33</v>
      </c>
    </row>
    <row r="65" spans="1:5">
      <c r="A65" s="72">
        <f t="shared" si="3"/>
        <v>41553</v>
      </c>
      <c r="B65" s="73">
        <v>1320.21</v>
      </c>
      <c r="C65" s="73">
        <v>269.08999999999997</v>
      </c>
      <c r="D65" s="73">
        <v>1216.02</v>
      </c>
      <c r="E65" s="74">
        <f t="shared" si="0"/>
        <v>2805.3199999999997</v>
      </c>
    </row>
    <row r="66" spans="1:5">
      <c r="A66" s="72">
        <f t="shared" si="3"/>
        <v>41583</v>
      </c>
      <c r="B66" s="73">
        <v>4340.1400000000003</v>
      </c>
      <c r="C66" s="73">
        <v>368</v>
      </c>
      <c r="D66" s="73">
        <v>1556.28</v>
      </c>
      <c r="E66" s="74">
        <f t="shared" si="0"/>
        <v>6264.42</v>
      </c>
    </row>
    <row r="67" spans="1:5">
      <c r="A67" s="72">
        <f t="shared" si="3"/>
        <v>41613</v>
      </c>
      <c r="B67" s="73">
        <v>6368.32</v>
      </c>
      <c r="C67" s="73">
        <v>406.26</v>
      </c>
      <c r="D67" s="73">
        <v>1800.86</v>
      </c>
      <c r="E67" s="74">
        <f t="shared" si="0"/>
        <v>8575.44</v>
      </c>
    </row>
    <row r="68" spans="1:5">
      <c r="A68" s="72">
        <f t="shared" si="3"/>
        <v>41643</v>
      </c>
      <c r="B68" s="73">
        <v>7782.3</v>
      </c>
      <c r="C68" s="73">
        <v>506.11</v>
      </c>
      <c r="D68" s="73">
        <v>0</v>
      </c>
      <c r="E68" s="74">
        <f t="shared" si="0"/>
        <v>8288.41</v>
      </c>
    </row>
    <row r="69" spans="1:5">
      <c r="A69" s="72">
        <f t="shared" si="3"/>
        <v>41673</v>
      </c>
      <c r="B69" s="73">
        <v>9131.3700000000008</v>
      </c>
      <c r="C69" s="73">
        <v>339.93</v>
      </c>
      <c r="D69" s="73">
        <v>0</v>
      </c>
      <c r="E69" s="74">
        <f t="shared" si="0"/>
        <v>9471.3000000000011</v>
      </c>
    </row>
    <row r="70" spans="1:5">
      <c r="A70" s="72">
        <f t="shared" si="3"/>
        <v>41703</v>
      </c>
      <c r="B70" s="73">
        <v>7149.16</v>
      </c>
      <c r="C70" s="73">
        <v>400.23</v>
      </c>
      <c r="D70" s="73">
        <v>0</v>
      </c>
      <c r="E70" s="74">
        <f t="shared" si="0"/>
        <v>7549.3899999999994</v>
      </c>
    </row>
    <row r="71" spans="1:5">
      <c r="A71" s="72">
        <f t="shared" si="3"/>
        <v>41733</v>
      </c>
      <c r="B71" s="73">
        <v>3686.15</v>
      </c>
      <c r="C71" s="73">
        <v>319.2</v>
      </c>
      <c r="D71" s="73">
        <v>0</v>
      </c>
      <c r="E71" s="74">
        <f t="shared" si="0"/>
        <v>4005.35</v>
      </c>
    </row>
    <row r="72" spans="1:5">
      <c r="A72" s="72">
        <f t="shared" si="3"/>
        <v>41763</v>
      </c>
      <c r="B72" s="73">
        <v>1675.12</v>
      </c>
      <c r="C72" s="73">
        <v>298.83</v>
      </c>
      <c r="D72" s="73">
        <v>0</v>
      </c>
      <c r="E72" s="74">
        <f t="shared" si="0"/>
        <v>1973.9499999999998</v>
      </c>
    </row>
    <row r="73" spans="1:5">
      <c r="A73" s="128">
        <f t="shared" si="3"/>
        <v>41793</v>
      </c>
      <c r="B73" s="129">
        <v>938.46</v>
      </c>
      <c r="C73" s="129">
        <v>263.32</v>
      </c>
      <c r="D73" s="129">
        <v>0</v>
      </c>
      <c r="E73" s="130">
        <f t="shared" si="0"/>
        <v>1201.78</v>
      </c>
    </row>
    <row r="74" spans="1:5" ht="15.75" thickBot="1">
      <c r="A74" s="125" t="s">
        <v>47</v>
      </c>
      <c r="B74" s="126">
        <f>SUM(B11:B73)</f>
        <v>188252.22999999998</v>
      </c>
      <c r="C74" s="126">
        <f>SUM(C11:C73)</f>
        <v>17742.12</v>
      </c>
      <c r="D74" s="126">
        <f>SUM(D11:D73)</f>
        <v>69052.779999999984</v>
      </c>
      <c r="E74" s="127">
        <f>SUM(E11:E73)</f>
        <v>275047.13000000006</v>
      </c>
    </row>
    <row r="77" spans="1:5">
      <c r="A77" s="131" t="s">
        <v>122</v>
      </c>
      <c r="B77" s="131"/>
      <c r="C77" s="131"/>
    </row>
  </sheetData>
  <mergeCells count="3">
    <mergeCell ref="A2:D2"/>
    <mergeCell ref="A5:D5"/>
    <mergeCell ref="A4:D4"/>
  </mergeCells>
  <pageMargins left="0.2" right="0.2" top="0.75" bottom="0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O84"/>
  <sheetViews>
    <sheetView workbookViewId="0">
      <selection activeCell="M72" sqref="M72"/>
    </sheetView>
  </sheetViews>
  <sheetFormatPr defaultRowHeight="15"/>
  <cols>
    <col min="1" max="1" width="8.85546875" customWidth="1"/>
    <col min="2" max="2" width="10.7109375" customWidth="1"/>
    <col min="3" max="3" width="13.7109375" customWidth="1"/>
    <col min="4" max="4" width="12.7109375" customWidth="1"/>
    <col min="5" max="5" width="13.85546875" customWidth="1"/>
    <col min="6" max="6" width="14.28515625" customWidth="1"/>
    <col min="7" max="7" width="13.85546875" customWidth="1"/>
    <col min="8" max="8" width="14.7109375" customWidth="1"/>
    <col min="9" max="9" width="14.5703125" customWidth="1"/>
    <col min="10" max="10" width="3.140625" customWidth="1"/>
    <col min="11" max="11" width="10.28515625" customWidth="1"/>
    <col min="12" max="12" width="4" customWidth="1"/>
    <col min="13" max="13" width="12.7109375" customWidth="1"/>
    <col min="14" max="14" width="15.28515625" customWidth="1"/>
  </cols>
  <sheetData>
    <row r="1" spans="1:14">
      <c r="A1" s="22" t="str">
        <f>ASSESSMENT!B1</f>
        <v>CASE 09-M-0311</v>
      </c>
      <c r="B1" s="22"/>
      <c r="J1" s="22" t="s">
        <v>145</v>
      </c>
    </row>
    <row r="2" spans="1:14">
      <c r="A2" s="22"/>
      <c r="B2" s="22"/>
    </row>
    <row r="3" spans="1:14">
      <c r="A3" s="56" t="str">
        <f>ASSESSMENT!B3</f>
        <v>Valley Energy, Inc.</v>
      </c>
      <c r="B3" s="56"/>
      <c r="E3" s="40"/>
    </row>
    <row r="4" spans="1:14"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K4" s="12" t="s">
        <v>53</v>
      </c>
    </row>
    <row r="5" spans="1:14">
      <c r="D5" s="5" t="s">
        <v>54</v>
      </c>
      <c r="E5" s="41">
        <f>SUM(C21:C32)</f>
        <v>53049.670000000006</v>
      </c>
      <c r="F5" s="41">
        <f>SUM(C33:C44)</f>
        <v>58813.880000000005</v>
      </c>
      <c r="G5" s="41">
        <f>SUM(C45:C56)</f>
        <v>51198.04</v>
      </c>
      <c r="H5" s="41">
        <f>SUM(C57:C68)</f>
        <v>57019.140000000007</v>
      </c>
      <c r="I5" s="41">
        <f>SUM(C69:C80)</f>
        <v>54966.399999999994</v>
      </c>
      <c r="K5" s="41">
        <f>SUM(E5:J5)</f>
        <v>275047.13</v>
      </c>
    </row>
    <row r="6" spans="1:14">
      <c r="D6" s="5" t="s">
        <v>55</v>
      </c>
      <c r="E6" s="42">
        <f>SUM(D21:D32,I21:I32,E23,E29)</f>
        <v>-88677.62</v>
      </c>
      <c r="F6" s="42">
        <f>SUM(D33:D44,I33:I44,E35,E41)</f>
        <v>-40101.64</v>
      </c>
      <c r="G6" s="42">
        <f>SUM(D45:D56,I45:I56,E47,E53)</f>
        <v>-32786.58</v>
      </c>
      <c r="H6" s="42">
        <f>SUM(D57:D68,I57:I68,E59,E65)</f>
        <v>-33107.94</v>
      </c>
      <c r="I6" s="42">
        <f>SUM(D69:D80,I69:I80,E71,E77)</f>
        <v>-7361.57</v>
      </c>
      <c r="K6" s="42">
        <f>SUM(E6:I6)</f>
        <v>-202035.35</v>
      </c>
    </row>
    <row r="7" spans="1:14">
      <c r="E7" s="41">
        <f>SUM(E5:E6)</f>
        <v>-35627.94999999999</v>
      </c>
      <c r="F7" s="41">
        <f>SUM(F5:F6)</f>
        <v>18712.240000000005</v>
      </c>
      <c r="G7" s="41">
        <f>SUM(G5:G6)</f>
        <v>18411.46</v>
      </c>
      <c r="H7" s="41">
        <f>SUM(H5:H6)</f>
        <v>23911.200000000004</v>
      </c>
      <c r="I7" s="41">
        <f>SUM(I5:I6)</f>
        <v>47604.829999999994</v>
      </c>
      <c r="K7" s="41">
        <f>SUM(K5:K6)</f>
        <v>73011.78</v>
      </c>
    </row>
    <row r="9" spans="1:14">
      <c r="A9" s="64" t="s">
        <v>84</v>
      </c>
    </row>
    <row r="10" spans="1:14">
      <c r="A10" s="65">
        <v>38373</v>
      </c>
      <c r="B10" s="13">
        <v>12444</v>
      </c>
      <c r="C10" t="s">
        <v>123</v>
      </c>
    </row>
    <row r="11" spans="1:14">
      <c r="A11" s="64"/>
    </row>
    <row r="12" spans="1:14">
      <c r="C12" t="s">
        <v>56</v>
      </c>
      <c r="D12" s="39">
        <v>9.5000000000000001E-2</v>
      </c>
      <c r="E12" s="44">
        <f>((1+D12)^(1/12))-1</f>
        <v>7.5915342905825689E-3</v>
      </c>
      <c r="F12" s="44"/>
      <c r="G12" s="55" t="s">
        <v>57</v>
      </c>
      <c r="H12" s="45"/>
      <c r="I12" s="57">
        <f>-SUM(D18:D80)</f>
        <v>6129</v>
      </c>
    </row>
    <row r="13" spans="1:14">
      <c r="C13" t="s">
        <v>58</v>
      </c>
      <c r="D13" s="39">
        <v>2.2270000000000002E-2</v>
      </c>
      <c r="E13" s="44"/>
      <c r="G13" s="55" t="s">
        <v>59</v>
      </c>
      <c r="H13" s="45"/>
      <c r="I13" s="57">
        <f>-SUM(I18:I80)</f>
        <v>933</v>
      </c>
    </row>
    <row r="14" spans="1:14">
      <c r="B14" s="12"/>
      <c r="C14" s="12"/>
      <c r="D14" s="12"/>
      <c r="E14" s="12"/>
      <c r="F14" s="12"/>
      <c r="G14" s="12"/>
      <c r="H14" s="47"/>
      <c r="M14" s="12" t="s">
        <v>85</v>
      </c>
      <c r="N14" s="12" t="s">
        <v>85</v>
      </c>
    </row>
    <row r="15" spans="1:14">
      <c r="A15" s="30"/>
      <c r="B15" s="61" t="s">
        <v>60</v>
      </c>
      <c r="C15" s="61" t="s">
        <v>28</v>
      </c>
      <c r="D15" s="61"/>
      <c r="E15" s="61" t="s">
        <v>61</v>
      </c>
      <c r="F15" s="61"/>
      <c r="G15" s="62" t="s">
        <v>73</v>
      </c>
      <c r="H15" s="61" t="s">
        <v>62</v>
      </c>
      <c r="I15" s="61"/>
      <c r="J15" s="62"/>
      <c r="K15" s="62" t="s">
        <v>63</v>
      </c>
      <c r="M15" s="63" t="s">
        <v>39</v>
      </c>
      <c r="N15" s="217" t="s">
        <v>148</v>
      </c>
    </row>
    <row r="16" spans="1:14">
      <c r="A16" s="30"/>
      <c r="B16" s="48" t="s">
        <v>64</v>
      </c>
      <c r="C16" s="48" t="s">
        <v>65</v>
      </c>
      <c r="D16" s="49" t="s">
        <v>66</v>
      </c>
      <c r="E16" s="48" t="s">
        <v>67</v>
      </c>
      <c r="F16" s="48" t="s">
        <v>68</v>
      </c>
      <c r="G16" s="48" t="s">
        <v>69</v>
      </c>
      <c r="H16" s="48" t="s">
        <v>70</v>
      </c>
      <c r="I16" s="49" t="s">
        <v>62</v>
      </c>
      <c r="J16" s="48"/>
      <c r="K16" s="48" t="s">
        <v>64</v>
      </c>
      <c r="M16" s="48" t="s">
        <v>86</v>
      </c>
      <c r="N16" s="48" t="s">
        <v>67</v>
      </c>
    </row>
    <row r="17" spans="1:15">
      <c r="A17" s="30">
        <v>39903</v>
      </c>
      <c r="N17" s="43">
        <v>-5143</v>
      </c>
    </row>
    <row r="18" spans="1:15">
      <c r="A18" s="30">
        <v>39933</v>
      </c>
      <c r="B18" s="41"/>
      <c r="C18" s="41">
        <f>'TSA $ Collected'!E11</f>
        <v>0</v>
      </c>
      <c r="D18" s="46">
        <f t="shared" ref="D18:D40" si="0">-ROUND(C18*D$13,0)</f>
        <v>0</v>
      </c>
      <c r="E18" s="41"/>
      <c r="F18" s="41">
        <f t="shared" ref="F18:F28" si="1">SUM(B18:E18)</f>
        <v>0</v>
      </c>
      <c r="G18" s="41">
        <f>-ROUND(F18*0.4,0)</f>
        <v>0</v>
      </c>
      <c r="H18" s="41">
        <f>F18+G18</f>
        <v>0</v>
      </c>
      <c r="I18" s="46">
        <f t="shared" ref="I18:I29" si="2">ROUND(+H18*E$12,0)</f>
        <v>0</v>
      </c>
      <c r="J18" s="41"/>
      <c r="K18" s="41">
        <f t="shared" ref="K18:K23" si="3">F18+I18</f>
        <v>0</v>
      </c>
      <c r="M18" s="41">
        <f>ROUND(B10/12,0)</f>
        <v>1037</v>
      </c>
      <c r="N18" s="43"/>
    </row>
    <row r="19" spans="1:15">
      <c r="A19" s="30">
        <f t="shared" ref="A19:A80" si="4">A18+30</f>
        <v>39963</v>
      </c>
      <c r="B19" s="43">
        <f>K18</f>
        <v>0</v>
      </c>
      <c r="C19" s="41">
        <f>'TSA $ Collected'!E12</f>
        <v>0</v>
      </c>
      <c r="D19" s="50">
        <f t="shared" si="0"/>
        <v>0</v>
      </c>
      <c r="E19" s="43"/>
      <c r="F19" s="43">
        <f t="shared" si="1"/>
        <v>0</v>
      </c>
      <c r="G19" s="41">
        <f>-ROUND(F19*0.4,0)</f>
        <v>0</v>
      </c>
      <c r="H19" s="43">
        <f>F19+G19</f>
        <v>0</v>
      </c>
      <c r="I19" s="50">
        <f t="shared" si="2"/>
        <v>0</v>
      </c>
      <c r="J19" s="43"/>
      <c r="K19" s="43">
        <f t="shared" si="3"/>
        <v>0</v>
      </c>
      <c r="M19" s="43">
        <f>M18</f>
        <v>1037</v>
      </c>
      <c r="N19" s="43"/>
    </row>
    <row r="20" spans="1:15">
      <c r="A20" s="30">
        <f t="shared" si="4"/>
        <v>39993</v>
      </c>
      <c r="B20" s="43">
        <f t="shared" ref="B20:B29" si="5">K19</f>
        <v>0</v>
      </c>
      <c r="C20" s="41">
        <f>'TSA $ Collected'!E13</f>
        <v>0</v>
      </c>
      <c r="D20" s="50">
        <f t="shared" si="0"/>
        <v>0</v>
      </c>
      <c r="E20" s="43"/>
      <c r="F20" s="43">
        <f t="shared" si="1"/>
        <v>0</v>
      </c>
      <c r="G20" s="41">
        <f>-ROUND(F20*0.4,0)</f>
        <v>0</v>
      </c>
      <c r="H20" s="43">
        <f t="shared" ref="H20:H29" si="6">F20+G20</f>
        <v>0</v>
      </c>
      <c r="I20" s="50">
        <f t="shared" si="2"/>
        <v>0</v>
      </c>
      <c r="J20" s="43"/>
      <c r="K20" s="43">
        <f t="shared" si="3"/>
        <v>0</v>
      </c>
      <c r="M20" s="43">
        <f t="shared" ref="M20:M80" si="7">M19</f>
        <v>1037</v>
      </c>
      <c r="N20" s="43"/>
    </row>
    <row r="21" spans="1:15">
      <c r="A21" s="30">
        <f t="shared" si="4"/>
        <v>40023</v>
      </c>
      <c r="B21" s="43">
        <f t="shared" si="5"/>
        <v>0</v>
      </c>
      <c r="C21" s="41">
        <f>'TSA $ Collected'!E14</f>
        <v>1478.52</v>
      </c>
      <c r="D21" s="50">
        <f t="shared" si="0"/>
        <v>-33</v>
      </c>
      <c r="E21" s="43"/>
      <c r="F21" s="43">
        <f t="shared" si="1"/>
        <v>1445.52</v>
      </c>
      <c r="G21" s="41">
        <f>-ROUND(F21*0.2789,0)</f>
        <v>-403</v>
      </c>
      <c r="H21" s="43">
        <f>F21+G21</f>
        <v>1042.52</v>
      </c>
      <c r="I21" s="50">
        <f>ROUND(+H21*E$12,0)</f>
        <v>8</v>
      </c>
      <c r="J21" s="43"/>
      <c r="K21" s="43">
        <f t="shared" si="3"/>
        <v>1453.52</v>
      </c>
      <c r="M21" s="43">
        <f t="shared" si="7"/>
        <v>1037</v>
      </c>
      <c r="N21" s="43"/>
    </row>
    <row r="22" spans="1:15">
      <c r="A22" s="30">
        <f t="shared" si="4"/>
        <v>40053</v>
      </c>
      <c r="B22" s="43">
        <f t="shared" si="5"/>
        <v>1453.52</v>
      </c>
      <c r="C22" s="41">
        <f>'TSA $ Collected'!E15</f>
        <v>1409.6999999999998</v>
      </c>
      <c r="D22" s="50">
        <f t="shared" si="0"/>
        <v>-31</v>
      </c>
      <c r="E22" s="43"/>
      <c r="F22" s="43">
        <f t="shared" si="1"/>
        <v>2832.22</v>
      </c>
      <c r="G22" s="41">
        <f t="shared" ref="G22:G80" si="8">-ROUND(F22*0.2789,0)</f>
        <v>-790</v>
      </c>
      <c r="H22" s="43">
        <f>F22+G22</f>
        <v>2042.2199999999998</v>
      </c>
      <c r="I22" s="50">
        <f>ROUND(+H22*E$12,0)</f>
        <v>16</v>
      </c>
      <c r="J22" s="43"/>
      <c r="K22" s="43">
        <f t="shared" si="3"/>
        <v>2848.22</v>
      </c>
      <c r="M22" s="43">
        <f t="shared" si="7"/>
        <v>1037</v>
      </c>
      <c r="N22" s="43"/>
    </row>
    <row r="23" spans="1:15">
      <c r="A23" s="30">
        <f t="shared" si="4"/>
        <v>40083</v>
      </c>
      <c r="B23" s="43">
        <f>K22</f>
        <v>2848.22</v>
      </c>
      <c r="C23" s="41">
        <f>'TSA $ Collected'!E16</f>
        <v>1786.7</v>
      </c>
      <c r="D23" s="50">
        <f t="shared" si="0"/>
        <v>-40</v>
      </c>
      <c r="E23" s="43">
        <v>-56778.559999999998</v>
      </c>
      <c r="F23" s="43">
        <f t="shared" si="1"/>
        <v>-52183.64</v>
      </c>
      <c r="G23" s="41">
        <f t="shared" si="8"/>
        <v>14554</v>
      </c>
      <c r="H23" s="43">
        <f t="shared" si="6"/>
        <v>-37629.64</v>
      </c>
      <c r="I23" s="50">
        <f>ROUND(+H23*E$12,0)</f>
        <v>-286</v>
      </c>
      <c r="J23" s="43"/>
      <c r="K23" s="43">
        <f t="shared" si="3"/>
        <v>-52469.64</v>
      </c>
      <c r="M23" s="43">
        <f t="shared" si="7"/>
        <v>1037</v>
      </c>
      <c r="N23" s="43">
        <v>-3667</v>
      </c>
    </row>
    <row r="24" spans="1:15">
      <c r="A24" s="30">
        <f t="shared" si="4"/>
        <v>40113</v>
      </c>
      <c r="B24" s="43">
        <f t="shared" si="5"/>
        <v>-52469.64</v>
      </c>
      <c r="C24" s="41">
        <f>'TSA $ Collected'!E17</f>
        <v>3270.7999999999997</v>
      </c>
      <c r="D24" s="50">
        <f t="shared" si="0"/>
        <v>-73</v>
      </c>
      <c r="E24" s="43"/>
      <c r="F24" s="43">
        <f t="shared" si="1"/>
        <v>-49271.839999999997</v>
      </c>
      <c r="G24" s="41">
        <f t="shared" si="8"/>
        <v>13742</v>
      </c>
      <c r="H24" s="43">
        <f t="shared" si="6"/>
        <v>-35529.839999999997</v>
      </c>
      <c r="I24" s="50">
        <f t="shared" si="2"/>
        <v>-270</v>
      </c>
      <c r="J24" s="43"/>
      <c r="K24" s="43">
        <f t="shared" ref="K24:K29" si="9">F24+I24</f>
        <v>-49541.84</v>
      </c>
      <c r="M24" s="43">
        <f t="shared" si="7"/>
        <v>1037</v>
      </c>
      <c r="N24" s="43"/>
    </row>
    <row r="25" spans="1:15">
      <c r="A25" s="30">
        <f t="shared" si="4"/>
        <v>40143</v>
      </c>
      <c r="B25" s="43">
        <f t="shared" si="5"/>
        <v>-49541.84</v>
      </c>
      <c r="C25" s="41">
        <f>'TSA $ Collected'!E18</f>
        <v>4335.55</v>
      </c>
      <c r="D25" s="50">
        <f t="shared" si="0"/>
        <v>-97</v>
      </c>
      <c r="E25" s="43"/>
      <c r="F25" s="43">
        <f t="shared" si="1"/>
        <v>-45303.289999999994</v>
      </c>
      <c r="G25" s="41">
        <f t="shared" si="8"/>
        <v>12635</v>
      </c>
      <c r="H25" s="43">
        <f t="shared" si="6"/>
        <v>-32668.289999999994</v>
      </c>
      <c r="I25" s="50">
        <f t="shared" si="2"/>
        <v>-248</v>
      </c>
      <c r="J25" s="43"/>
      <c r="K25" s="43">
        <f t="shared" si="9"/>
        <v>-45551.289999999994</v>
      </c>
      <c r="M25" s="43">
        <f t="shared" si="7"/>
        <v>1037</v>
      </c>
      <c r="N25" s="43"/>
    </row>
    <row r="26" spans="1:15">
      <c r="A26" s="30">
        <f t="shared" si="4"/>
        <v>40173</v>
      </c>
      <c r="B26" s="43">
        <f t="shared" si="5"/>
        <v>-45551.289999999994</v>
      </c>
      <c r="C26" s="41">
        <f>'TSA $ Collected'!E19</f>
        <v>7036.22</v>
      </c>
      <c r="D26" s="50">
        <f t="shared" si="0"/>
        <v>-157</v>
      </c>
      <c r="E26" s="43"/>
      <c r="F26" s="43">
        <f t="shared" si="1"/>
        <v>-38672.069999999992</v>
      </c>
      <c r="G26" s="41">
        <f t="shared" si="8"/>
        <v>10786</v>
      </c>
      <c r="H26" s="43">
        <f t="shared" si="6"/>
        <v>-27886.069999999992</v>
      </c>
      <c r="I26" s="50">
        <f t="shared" si="2"/>
        <v>-212</v>
      </c>
      <c r="J26" s="43"/>
      <c r="K26" s="43">
        <f t="shared" si="9"/>
        <v>-38884.069999999992</v>
      </c>
      <c r="M26" s="43">
        <f t="shared" si="7"/>
        <v>1037</v>
      </c>
      <c r="N26" s="43"/>
    </row>
    <row r="27" spans="1:15">
      <c r="A27" s="30">
        <f t="shared" si="4"/>
        <v>40203</v>
      </c>
      <c r="B27" s="43">
        <f t="shared" si="5"/>
        <v>-38884.069999999992</v>
      </c>
      <c r="C27" s="41">
        <f>'TSA $ Collected'!E20</f>
        <v>9517.69</v>
      </c>
      <c r="D27" s="50">
        <f t="shared" si="0"/>
        <v>-212</v>
      </c>
      <c r="E27" s="43"/>
      <c r="F27" s="43">
        <f t="shared" si="1"/>
        <v>-29578.37999999999</v>
      </c>
      <c r="G27" s="41">
        <f t="shared" si="8"/>
        <v>8249</v>
      </c>
      <c r="H27" s="43">
        <f t="shared" si="6"/>
        <v>-21329.37999999999</v>
      </c>
      <c r="I27" s="50">
        <f t="shared" si="2"/>
        <v>-162</v>
      </c>
      <c r="J27" s="43"/>
      <c r="K27" s="43">
        <f t="shared" si="9"/>
        <v>-29740.37999999999</v>
      </c>
      <c r="M27" s="43">
        <f>M26</f>
        <v>1037</v>
      </c>
      <c r="N27" s="43"/>
    </row>
    <row r="28" spans="1:15">
      <c r="A28" s="30">
        <f t="shared" si="4"/>
        <v>40233</v>
      </c>
      <c r="B28" s="43">
        <f t="shared" si="5"/>
        <v>-29740.37999999999</v>
      </c>
      <c r="C28" s="41">
        <f>'TSA $ Collected'!E21</f>
        <v>9390.119999999999</v>
      </c>
      <c r="D28" s="50">
        <f t="shared" si="0"/>
        <v>-209</v>
      </c>
      <c r="E28" s="43"/>
      <c r="F28" s="43">
        <f t="shared" si="1"/>
        <v>-20559.259999999991</v>
      </c>
      <c r="G28" s="41">
        <f t="shared" si="8"/>
        <v>5734</v>
      </c>
      <c r="H28" s="43">
        <f t="shared" si="6"/>
        <v>-14825.259999999991</v>
      </c>
      <c r="I28" s="50">
        <f t="shared" si="2"/>
        <v>-113</v>
      </c>
      <c r="J28" s="43"/>
      <c r="K28" s="43">
        <f t="shared" si="9"/>
        <v>-20672.259999999991</v>
      </c>
      <c r="M28" s="43">
        <f t="shared" si="7"/>
        <v>1037</v>
      </c>
      <c r="N28" s="43"/>
    </row>
    <row r="29" spans="1:15">
      <c r="A29" s="51">
        <f t="shared" si="4"/>
        <v>40263</v>
      </c>
      <c r="B29" s="52">
        <f t="shared" si="5"/>
        <v>-20672.259999999991</v>
      </c>
      <c r="C29" s="41">
        <f>'TSA $ Collected'!E22</f>
        <v>6760.15</v>
      </c>
      <c r="D29" s="53">
        <f t="shared" si="0"/>
        <v>-151</v>
      </c>
      <c r="E29" s="43">
        <v>-28604.06</v>
      </c>
      <c r="F29" s="52">
        <f>SUM(B29:E29)</f>
        <v>-42667.169999999991</v>
      </c>
      <c r="G29" s="41">
        <f t="shared" si="8"/>
        <v>11900</v>
      </c>
      <c r="H29" s="52">
        <f t="shared" si="6"/>
        <v>-30767.169999999991</v>
      </c>
      <c r="I29" s="53">
        <f t="shared" si="2"/>
        <v>-234</v>
      </c>
      <c r="J29" s="52"/>
      <c r="K29" s="52">
        <f t="shared" si="9"/>
        <v>-42901.169999999991</v>
      </c>
      <c r="L29" s="25"/>
      <c r="M29" s="52">
        <f t="shared" si="7"/>
        <v>1037</v>
      </c>
      <c r="N29" s="52">
        <v>-4478</v>
      </c>
      <c r="O29" s="25"/>
    </row>
    <row r="30" spans="1:15">
      <c r="A30" s="51">
        <f t="shared" si="4"/>
        <v>40293</v>
      </c>
      <c r="B30" s="52">
        <f t="shared" ref="B30:B40" si="10">K29</f>
        <v>-42901.169999999991</v>
      </c>
      <c r="C30" s="41">
        <f>'TSA $ Collected'!E23</f>
        <v>3645.0199999999995</v>
      </c>
      <c r="D30" s="53">
        <f t="shared" si="0"/>
        <v>-81</v>
      </c>
      <c r="E30" s="52"/>
      <c r="F30" s="52">
        <f t="shared" ref="F30:F40" si="11">SUM(B30:E30)</f>
        <v>-39337.149999999994</v>
      </c>
      <c r="G30" s="41">
        <f t="shared" si="8"/>
        <v>10971</v>
      </c>
      <c r="H30" s="52">
        <f t="shared" ref="H30:H40" si="12">F30+G30</f>
        <v>-28366.149999999994</v>
      </c>
      <c r="I30" s="53">
        <f t="shared" ref="I30:I40" si="13">ROUND(+H30*E$12,0)</f>
        <v>-215</v>
      </c>
      <c r="J30" s="52"/>
      <c r="K30" s="52">
        <f t="shared" ref="K30:K40" si="14">F30+I30</f>
        <v>-39552.149999999994</v>
      </c>
      <c r="M30" s="52">
        <f t="shared" si="7"/>
        <v>1037</v>
      </c>
      <c r="N30" s="43"/>
    </row>
    <row r="31" spans="1:15">
      <c r="A31" s="51">
        <f t="shared" si="4"/>
        <v>40323</v>
      </c>
      <c r="B31" s="52">
        <f t="shared" si="10"/>
        <v>-39552.149999999994</v>
      </c>
      <c r="C31" s="41">
        <f>'TSA $ Collected'!E24</f>
        <v>2628.26</v>
      </c>
      <c r="D31" s="53">
        <f t="shared" si="0"/>
        <v>-59</v>
      </c>
      <c r="E31" s="52"/>
      <c r="F31" s="52">
        <f t="shared" si="11"/>
        <v>-36982.889999999992</v>
      </c>
      <c r="G31" s="41">
        <f t="shared" si="8"/>
        <v>10315</v>
      </c>
      <c r="H31" s="52">
        <f t="shared" si="12"/>
        <v>-26667.889999999992</v>
      </c>
      <c r="I31" s="53">
        <f t="shared" si="13"/>
        <v>-202</v>
      </c>
      <c r="J31" s="52"/>
      <c r="K31" s="52">
        <f t="shared" si="14"/>
        <v>-37184.889999999992</v>
      </c>
      <c r="M31" s="52">
        <f t="shared" si="7"/>
        <v>1037</v>
      </c>
      <c r="N31" s="43"/>
    </row>
    <row r="32" spans="1:15">
      <c r="A32" s="51">
        <f t="shared" si="4"/>
        <v>40353</v>
      </c>
      <c r="B32" s="52">
        <f t="shared" si="10"/>
        <v>-37184.889999999992</v>
      </c>
      <c r="C32" s="41">
        <f>'TSA $ Collected'!E25</f>
        <v>1790.94</v>
      </c>
      <c r="D32" s="53">
        <f t="shared" si="0"/>
        <v>-40</v>
      </c>
      <c r="E32" s="52"/>
      <c r="F32" s="52">
        <f t="shared" si="11"/>
        <v>-35433.94999999999</v>
      </c>
      <c r="G32" s="41">
        <f t="shared" si="8"/>
        <v>9883</v>
      </c>
      <c r="H32" s="52">
        <f t="shared" si="12"/>
        <v>-25550.94999999999</v>
      </c>
      <c r="I32" s="53">
        <f t="shared" si="13"/>
        <v>-194</v>
      </c>
      <c r="J32" s="52"/>
      <c r="K32" s="52">
        <f t="shared" si="14"/>
        <v>-35627.94999999999</v>
      </c>
      <c r="M32" s="52">
        <f t="shared" si="7"/>
        <v>1037</v>
      </c>
      <c r="N32" s="43"/>
    </row>
    <row r="33" spans="1:14">
      <c r="A33" s="51">
        <f t="shared" si="4"/>
        <v>40383</v>
      </c>
      <c r="B33" s="52">
        <f t="shared" si="10"/>
        <v>-35627.94999999999</v>
      </c>
      <c r="C33" s="41">
        <f>'TSA $ Collected'!E26</f>
        <v>1364.0099999999998</v>
      </c>
      <c r="D33" s="53">
        <f t="shared" si="0"/>
        <v>-30</v>
      </c>
      <c r="E33" s="52"/>
      <c r="F33" s="52">
        <f t="shared" si="11"/>
        <v>-34293.939999999988</v>
      </c>
      <c r="G33" s="41">
        <f t="shared" si="8"/>
        <v>9565</v>
      </c>
      <c r="H33" s="52">
        <f t="shared" si="12"/>
        <v>-24728.939999999988</v>
      </c>
      <c r="I33" s="53">
        <f t="shared" si="13"/>
        <v>-188</v>
      </c>
      <c r="J33" s="52"/>
      <c r="K33" s="52">
        <f t="shared" si="14"/>
        <v>-34481.939999999988</v>
      </c>
      <c r="M33" s="52">
        <f t="shared" si="7"/>
        <v>1037</v>
      </c>
      <c r="N33" s="43"/>
    </row>
    <row r="34" spans="1:14">
      <c r="A34" s="51">
        <f t="shared" si="4"/>
        <v>40413</v>
      </c>
      <c r="B34" s="52">
        <f t="shared" si="10"/>
        <v>-34481.939999999988</v>
      </c>
      <c r="C34" s="41">
        <f>'TSA $ Collected'!E27</f>
        <v>1548.2400000000002</v>
      </c>
      <c r="D34" s="53">
        <f t="shared" si="0"/>
        <v>-34</v>
      </c>
      <c r="E34" s="52"/>
      <c r="F34" s="52">
        <f t="shared" si="11"/>
        <v>-32967.69999999999</v>
      </c>
      <c r="G34" s="41">
        <f t="shared" si="8"/>
        <v>9195</v>
      </c>
      <c r="H34" s="52">
        <f t="shared" si="12"/>
        <v>-23772.69999999999</v>
      </c>
      <c r="I34" s="53">
        <f t="shared" si="13"/>
        <v>-180</v>
      </c>
      <c r="J34" s="52"/>
      <c r="K34" s="52">
        <f t="shared" si="14"/>
        <v>-33147.69999999999</v>
      </c>
      <c r="M34" s="52">
        <f t="shared" si="7"/>
        <v>1037</v>
      </c>
      <c r="N34" s="43"/>
    </row>
    <row r="35" spans="1:14">
      <c r="A35" s="51">
        <f t="shared" si="4"/>
        <v>40443</v>
      </c>
      <c r="B35" s="52">
        <f t="shared" si="10"/>
        <v>-33147.69999999999</v>
      </c>
      <c r="C35" s="41">
        <f>'TSA $ Collected'!E28</f>
        <v>1713.26</v>
      </c>
      <c r="D35" s="53">
        <f t="shared" si="0"/>
        <v>-38</v>
      </c>
      <c r="E35" s="52">
        <v>-15087.72</v>
      </c>
      <c r="F35" s="52">
        <f t="shared" si="11"/>
        <v>-46560.159999999989</v>
      </c>
      <c r="G35" s="41">
        <f t="shared" si="8"/>
        <v>12986</v>
      </c>
      <c r="H35" s="52">
        <f t="shared" si="12"/>
        <v>-33574.159999999989</v>
      </c>
      <c r="I35" s="53">
        <f t="shared" si="13"/>
        <v>-255</v>
      </c>
      <c r="J35" s="52"/>
      <c r="K35" s="52">
        <f t="shared" si="14"/>
        <v>-46815.159999999989</v>
      </c>
      <c r="M35" s="52">
        <f t="shared" si="7"/>
        <v>1037</v>
      </c>
      <c r="N35" s="43">
        <v>-3765</v>
      </c>
    </row>
    <row r="36" spans="1:14">
      <c r="A36" s="51">
        <f t="shared" si="4"/>
        <v>40473</v>
      </c>
      <c r="B36" s="52">
        <f t="shared" si="10"/>
        <v>-46815.159999999989</v>
      </c>
      <c r="C36" s="41">
        <f>'TSA $ Collected'!E29</f>
        <v>2898.15</v>
      </c>
      <c r="D36" s="53">
        <f t="shared" si="0"/>
        <v>-65</v>
      </c>
      <c r="E36" s="52"/>
      <c r="F36" s="52">
        <f t="shared" si="11"/>
        <v>-43982.009999999987</v>
      </c>
      <c r="G36" s="41">
        <f t="shared" si="8"/>
        <v>12267</v>
      </c>
      <c r="H36" s="52">
        <f t="shared" si="12"/>
        <v>-31715.009999999987</v>
      </c>
      <c r="I36" s="53">
        <f t="shared" si="13"/>
        <v>-241</v>
      </c>
      <c r="J36" s="52"/>
      <c r="K36" s="52">
        <f t="shared" si="14"/>
        <v>-44223.009999999987</v>
      </c>
      <c r="M36" s="52">
        <f t="shared" si="7"/>
        <v>1037</v>
      </c>
      <c r="N36" s="43"/>
    </row>
    <row r="37" spans="1:14">
      <c r="A37" s="51">
        <f t="shared" si="4"/>
        <v>40503</v>
      </c>
      <c r="B37" s="52">
        <f t="shared" si="10"/>
        <v>-44223.009999999987</v>
      </c>
      <c r="C37" s="41">
        <f>'TSA $ Collected'!E30</f>
        <v>4970.95</v>
      </c>
      <c r="D37" s="53">
        <f t="shared" si="0"/>
        <v>-111</v>
      </c>
      <c r="E37" s="52"/>
      <c r="F37" s="52">
        <f t="shared" si="11"/>
        <v>-39363.05999999999</v>
      </c>
      <c r="G37" s="41">
        <f t="shared" si="8"/>
        <v>10978</v>
      </c>
      <c r="H37" s="52">
        <f t="shared" si="12"/>
        <v>-28385.05999999999</v>
      </c>
      <c r="I37" s="53">
        <f t="shared" si="13"/>
        <v>-215</v>
      </c>
      <c r="J37" s="52"/>
      <c r="K37" s="52">
        <f t="shared" si="14"/>
        <v>-39578.05999999999</v>
      </c>
      <c r="M37" s="52">
        <f t="shared" si="7"/>
        <v>1037</v>
      </c>
      <c r="N37" s="43"/>
    </row>
    <row r="38" spans="1:14">
      <c r="A38" s="51">
        <f t="shared" si="4"/>
        <v>40533</v>
      </c>
      <c r="B38" s="52">
        <f t="shared" si="10"/>
        <v>-39578.05999999999</v>
      </c>
      <c r="C38" s="41">
        <f>'TSA $ Collected'!E31</f>
        <v>8941.3700000000008</v>
      </c>
      <c r="D38" s="53">
        <f t="shared" si="0"/>
        <v>-199</v>
      </c>
      <c r="E38" s="52"/>
      <c r="F38" s="52">
        <f t="shared" si="11"/>
        <v>-30835.689999999988</v>
      </c>
      <c r="G38" s="41">
        <f t="shared" si="8"/>
        <v>8600</v>
      </c>
      <c r="H38" s="52">
        <f t="shared" si="12"/>
        <v>-22235.689999999988</v>
      </c>
      <c r="I38" s="53">
        <f t="shared" si="13"/>
        <v>-169</v>
      </c>
      <c r="J38" s="52"/>
      <c r="K38" s="52">
        <f t="shared" si="14"/>
        <v>-31004.689999999988</v>
      </c>
      <c r="M38" s="52">
        <f t="shared" si="7"/>
        <v>1037</v>
      </c>
      <c r="N38" s="43"/>
    </row>
    <row r="39" spans="1:14">
      <c r="A39" s="51">
        <f t="shared" si="4"/>
        <v>40563</v>
      </c>
      <c r="B39" s="52">
        <f t="shared" si="10"/>
        <v>-31004.689999999988</v>
      </c>
      <c r="C39" s="41">
        <f>'TSA $ Collected'!E32</f>
        <v>10049.33</v>
      </c>
      <c r="D39" s="53">
        <f t="shared" si="0"/>
        <v>-224</v>
      </c>
      <c r="E39" s="52"/>
      <c r="F39" s="52">
        <f t="shared" si="11"/>
        <v>-21179.359999999986</v>
      </c>
      <c r="G39" s="41">
        <f t="shared" si="8"/>
        <v>5907</v>
      </c>
      <c r="H39" s="52">
        <f t="shared" si="12"/>
        <v>-15272.359999999986</v>
      </c>
      <c r="I39" s="53">
        <f t="shared" si="13"/>
        <v>-116</v>
      </c>
      <c r="J39" s="52"/>
      <c r="K39" s="52">
        <f t="shared" si="14"/>
        <v>-21295.359999999986</v>
      </c>
      <c r="M39" s="52">
        <f t="shared" si="7"/>
        <v>1037</v>
      </c>
      <c r="N39" s="43"/>
    </row>
    <row r="40" spans="1:14">
      <c r="A40" s="51">
        <f t="shared" si="4"/>
        <v>40593</v>
      </c>
      <c r="B40" s="52">
        <f t="shared" si="10"/>
        <v>-21295.359999999986</v>
      </c>
      <c r="C40" s="41">
        <f>'TSA $ Collected'!E33</f>
        <v>9769.380000000001</v>
      </c>
      <c r="D40" s="53">
        <f t="shared" si="0"/>
        <v>-218</v>
      </c>
      <c r="E40" s="52"/>
      <c r="F40" s="52">
        <f t="shared" si="11"/>
        <v>-11743.979999999985</v>
      </c>
      <c r="G40" s="41">
        <f t="shared" si="8"/>
        <v>3275</v>
      </c>
      <c r="H40" s="52">
        <f t="shared" si="12"/>
        <v>-8468.979999999985</v>
      </c>
      <c r="I40" s="53">
        <f t="shared" si="13"/>
        <v>-64</v>
      </c>
      <c r="J40" s="52"/>
      <c r="K40" s="52">
        <f t="shared" si="14"/>
        <v>-11807.979999999985</v>
      </c>
      <c r="M40" s="52">
        <f t="shared" si="7"/>
        <v>1037</v>
      </c>
      <c r="N40" s="43"/>
    </row>
    <row r="41" spans="1:14">
      <c r="A41" s="51">
        <f t="shared" si="4"/>
        <v>40623</v>
      </c>
      <c r="B41" s="52">
        <f t="shared" ref="B41:B55" si="15">K40</f>
        <v>-11807.979999999985</v>
      </c>
      <c r="C41" s="41">
        <f>'TSA $ Collected'!E34</f>
        <v>7813.6299999999992</v>
      </c>
      <c r="D41" s="53">
        <f t="shared" ref="D41:D80" si="16">-ROUND(C41*D$13,0)</f>
        <v>-174</v>
      </c>
      <c r="E41" s="52">
        <v>-21843.919999999998</v>
      </c>
      <c r="F41" s="52">
        <f t="shared" ref="F41:F80" si="17">SUM(B41:E41)</f>
        <v>-26012.269999999982</v>
      </c>
      <c r="G41" s="41">
        <f t="shared" si="8"/>
        <v>7255</v>
      </c>
      <c r="H41" s="52">
        <f t="shared" ref="H41:H80" si="18">F41+G41</f>
        <v>-18757.269999999982</v>
      </c>
      <c r="I41" s="53">
        <f t="shared" ref="I41:I80" si="19">ROUND(+H41*E$12,0)</f>
        <v>-142</v>
      </c>
      <c r="J41" s="52"/>
      <c r="K41" s="52">
        <f t="shared" ref="K41:K79" si="20">F41+I41</f>
        <v>-26154.269999999982</v>
      </c>
      <c r="M41" s="52">
        <f t="shared" si="7"/>
        <v>1037</v>
      </c>
      <c r="N41" s="43">
        <v>-4042</v>
      </c>
    </row>
    <row r="42" spans="1:14">
      <c r="A42" s="51">
        <f t="shared" si="4"/>
        <v>40653</v>
      </c>
      <c r="B42" s="52">
        <f t="shared" si="15"/>
        <v>-26154.269999999982</v>
      </c>
      <c r="C42" s="41">
        <f>'TSA $ Collected'!E35</f>
        <v>5408.08</v>
      </c>
      <c r="D42" s="53">
        <f t="shared" si="16"/>
        <v>-120</v>
      </c>
      <c r="E42" s="52"/>
      <c r="F42" s="52">
        <f t="shared" si="17"/>
        <v>-20866.189999999981</v>
      </c>
      <c r="G42" s="41">
        <f t="shared" si="8"/>
        <v>5820</v>
      </c>
      <c r="H42" s="52">
        <f t="shared" si="18"/>
        <v>-15046.189999999981</v>
      </c>
      <c r="I42" s="53">
        <f t="shared" si="19"/>
        <v>-114</v>
      </c>
      <c r="J42" s="52"/>
      <c r="K42" s="52">
        <f t="shared" si="20"/>
        <v>-20980.189999999981</v>
      </c>
      <c r="M42" s="52">
        <f t="shared" si="7"/>
        <v>1037</v>
      </c>
      <c r="N42" s="43"/>
    </row>
    <row r="43" spans="1:14">
      <c r="A43" s="51">
        <f t="shared" si="4"/>
        <v>40683</v>
      </c>
      <c r="B43" s="52">
        <f t="shared" si="15"/>
        <v>-20980.189999999981</v>
      </c>
      <c r="C43" s="41">
        <f>'TSA $ Collected'!E36</f>
        <v>5792.54</v>
      </c>
      <c r="D43" s="53">
        <f t="shared" si="16"/>
        <v>-129</v>
      </c>
      <c r="E43" s="52"/>
      <c r="F43" s="52">
        <f t="shared" si="17"/>
        <v>-15316.64999999998</v>
      </c>
      <c r="G43" s="41">
        <f t="shared" si="8"/>
        <v>4272</v>
      </c>
      <c r="H43" s="52">
        <f t="shared" si="18"/>
        <v>-11044.64999999998</v>
      </c>
      <c r="I43" s="53">
        <f t="shared" si="19"/>
        <v>-84</v>
      </c>
      <c r="J43" s="52"/>
      <c r="K43" s="52">
        <f t="shared" si="20"/>
        <v>-15400.64999999998</v>
      </c>
      <c r="M43" s="52">
        <f t="shared" si="7"/>
        <v>1037</v>
      </c>
      <c r="N43" s="43"/>
    </row>
    <row r="44" spans="1:14">
      <c r="A44" s="51">
        <f t="shared" si="4"/>
        <v>40713</v>
      </c>
      <c r="B44" s="52">
        <f t="shared" si="15"/>
        <v>-15400.64999999998</v>
      </c>
      <c r="C44" s="41">
        <f>'TSA $ Collected'!E37</f>
        <v>-1455.0600000000002</v>
      </c>
      <c r="D44" s="53">
        <f t="shared" si="16"/>
        <v>32</v>
      </c>
      <c r="E44" s="52"/>
      <c r="F44" s="52">
        <f t="shared" si="17"/>
        <v>-16823.709999999981</v>
      </c>
      <c r="G44" s="41">
        <f t="shared" si="8"/>
        <v>4692</v>
      </c>
      <c r="H44" s="52">
        <f t="shared" si="18"/>
        <v>-12131.709999999981</v>
      </c>
      <c r="I44" s="53">
        <f t="shared" si="19"/>
        <v>-92</v>
      </c>
      <c r="J44" s="52"/>
      <c r="K44" s="52">
        <f t="shared" si="20"/>
        <v>-16915.709999999981</v>
      </c>
      <c r="M44" s="52">
        <f t="shared" si="7"/>
        <v>1037</v>
      </c>
      <c r="N44" s="43"/>
    </row>
    <row r="45" spans="1:14">
      <c r="A45" s="51">
        <f t="shared" si="4"/>
        <v>40743</v>
      </c>
      <c r="B45" s="52">
        <f t="shared" si="15"/>
        <v>-16915.709999999981</v>
      </c>
      <c r="C45" s="41">
        <f>'TSA $ Collected'!E38</f>
        <v>1447.87</v>
      </c>
      <c r="D45" s="53">
        <f t="shared" si="16"/>
        <v>-32</v>
      </c>
      <c r="E45" s="52"/>
      <c r="F45" s="52">
        <f t="shared" si="17"/>
        <v>-15499.839999999982</v>
      </c>
      <c r="G45" s="41">
        <f t="shared" si="8"/>
        <v>4323</v>
      </c>
      <c r="H45" s="52">
        <f t="shared" si="18"/>
        <v>-11176.839999999982</v>
      </c>
      <c r="I45" s="53">
        <f t="shared" si="19"/>
        <v>-85</v>
      </c>
      <c r="J45" s="52"/>
      <c r="K45" s="52">
        <f t="shared" si="20"/>
        <v>-15584.839999999982</v>
      </c>
      <c r="M45" s="52">
        <f t="shared" si="7"/>
        <v>1037</v>
      </c>
      <c r="N45" s="43"/>
    </row>
    <row r="46" spans="1:14">
      <c r="A46" s="51">
        <f t="shared" si="4"/>
        <v>40773</v>
      </c>
      <c r="B46" s="52">
        <f t="shared" si="15"/>
        <v>-15584.839999999982</v>
      </c>
      <c r="C46" s="41">
        <f>'TSA $ Collected'!E39</f>
        <v>1792.64</v>
      </c>
      <c r="D46" s="53">
        <f t="shared" si="16"/>
        <v>-40</v>
      </c>
      <c r="E46" s="52"/>
      <c r="F46" s="52">
        <f t="shared" si="17"/>
        <v>-13832.199999999983</v>
      </c>
      <c r="G46" s="41">
        <f t="shared" si="8"/>
        <v>3858</v>
      </c>
      <c r="H46" s="52">
        <f t="shared" si="18"/>
        <v>-9974.1999999999825</v>
      </c>
      <c r="I46" s="53">
        <f t="shared" si="19"/>
        <v>-76</v>
      </c>
      <c r="J46" s="52"/>
      <c r="K46" s="52">
        <f t="shared" si="20"/>
        <v>-13908.199999999983</v>
      </c>
      <c r="M46" s="52">
        <f t="shared" si="7"/>
        <v>1037</v>
      </c>
      <c r="N46" s="43"/>
    </row>
    <row r="47" spans="1:14">
      <c r="A47" s="51">
        <f t="shared" si="4"/>
        <v>40803</v>
      </c>
      <c r="B47" s="52">
        <f t="shared" si="15"/>
        <v>-13908.199999999983</v>
      </c>
      <c r="C47" s="41">
        <f>'TSA $ Collected'!E40</f>
        <v>1850.87</v>
      </c>
      <c r="D47" s="53">
        <f t="shared" si="16"/>
        <v>-41</v>
      </c>
      <c r="E47" s="52">
        <v>-13396.79</v>
      </c>
      <c r="F47" s="52">
        <f t="shared" si="17"/>
        <v>-25495.119999999984</v>
      </c>
      <c r="G47" s="41">
        <f t="shared" si="8"/>
        <v>7111</v>
      </c>
      <c r="H47" s="52">
        <f t="shared" si="18"/>
        <v>-18384.119999999984</v>
      </c>
      <c r="I47" s="53">
        <f t="shared" si="19"/>
        <v>-140</v>
      </c>
      <c r="J47" s="52"/>
      <c r="K47" s="52">
        <f t="shared" si="20"/>
        <v>-25635.119999999984</v>
      </c>
      <c r="M47" s="52">
        <f t="shared" si="7"/>
        <v>1037</v>
      </c>
      <c r="N47" s="43">
        <v>-3042</v>
      </c>
    </row>
    <row r="48" spans="1:14">
      <c r="A48" s="51">
        <f t="shared" si="4"/>
        <v>40833</v>
      </c>
      <c r="B48" s="52">
        <f t="shared" si="15"/>
        <v>-25635.119999999984</v>
      </c>
      <c r="C48" s="41">
        <f>'TSA $ Collected'!E41</f>
        <v>2901.91</v>
      </c>
      <c r="D48" s="53">
        <f t="shared" si="16"/>
        <v>-65</v>
      </c>
      <c r="E48" s="52"/>
      <c r="F48" s="52">
        <f t="shared" si="17"/>
        <v>-22798.209999999985</v>
      </c>
      <c r="G48" s="41">
        <f t="shared" si="8"/>
        <v>6358</v>
      </c>
      <c r="H48" s="52">
        <f t="shared" si="18"/>
        <v>-16440.209999999985</v>
      </c>
      <c r="I48" s="53">
        <f t="shared" si="19"/>
        <v>-125</v>
      </c>
      <c r="J48" s="52"/>
      <c r="K48" s="52">
        <f t="shared" si="20"/>
        <v>-22923.209999999985</v>
      </c>
      <c r="M48" s="52">
        <f t="shared" si="7"/>
        <v>1037</v>
      </c>
      <c r="N48" s="43"/>
    </row>
    <row r="49" spans="1:14">
      <c r="A49" s="51">
        <f t="shared" si="4"/>
        <v>40863</v>
      </c>
      <c r="B49" s="52">
        <f t="shared" si="15"/>
        <v>-22923.209999999985</v>
      </c>
      <c r="C49" s="41">
        <f>'TSA $ Collected'!E42</f>
        <v>5267.2199999999993</v>
      </c>
      <c r="D49" s="53">
        <f t="shared" si="16"/>
        <v>-117</v>
      </c>
      <c r="E49" s="52"/>
      <c r="F49" s="52">
        <f t="shared" si="17"/>
        <v>-17772.989999999983</v>
      </c>
      <c r="G49" s="41">
        <f t="shared" si="8"/>
        <v>4957</v>
      </c>
      <c r="H49" s="52">
        <f t="shared" si="18"/>
        <v>-12815.989999999983</v>
      </c>
      <c r="I49" s="53">
        <f t="shared" si="19"/>
        <v>-97</v>
      </c>
      <c r="J49" s="52"/>
      <c r="K49" s="52">
        <f t="shared" si="20"/>
        <v>-17869.989999999983</v>
      </c>
      <c r="M49" s="52">
        <f t="shared" si="7"/>
        <v>1037</v>
      </c>
      <c r="N49" s="43"/>
    </row>
    <row r="50" spans="1:14">
      <c r="A50" s="51">
        <f t="shared" si="4"/>
        <v>40893</v>
      </c>
      <c r="B50" s="52">
        <f t="shared" si="15"/>
        <v>-17869.989999999983</v>
      </c>
      <c r="C50" s="41">
        <f>'TSA $ Collected'!E43</f>
        <v>6537.6299999999992</v>
      </c>
      <c r="D50" s="53">
        <f t="shared" si="16"/>
        <v>-146</v>
      </c>
      <c r="E50" s="52"/>
      <c r="F50" s="52">
        <f t="shared" si="17"/>
        <v>-11478.359999999984</v>
      </c>
      <c r="G50" s="41">
        <f t="shared" si="8"/>
        <v>3201</v>
      </c>
      <c r="H50" s="52">
        <f t="shared" si="18"/>
        <v>-8277.3599999999842</v>
      </c>
      <c r="I50" s="53">
        <f t="shared" si="19"/>
        <v>-63</v>
      </c>
      <c r="J50" s="52"/>
      <c r="K50" s="52">
        <f t="shared" si="20"/>
        <v>-11541.359999999984</v>
      </c>
      <c r="M50" s="52">
        <f t="shared" si="7"/>
        <v>1037</v>
      </c>
      <c r="N50" s="43"/>
    </row>
    <row r="51" spans="1:14">
      <c r="A51" s="51">
        <f t="shared" si="4"/>
        <v>40923</v>
      </c>
      <c r="B51" s="52">
        <f t="shared" si="15"/>
        <v>-11541.359999999984</v>
      </c>
      <c r="C51" s="41">
        <f>'TSA $ Collected'!E44</f>
        <v>8554.15</v>
      </c>
      <c r="D51" s="53">
        <f t="shared" si="16"/>
        <v>-191</v>
      </c>
      <c r="E51" s="52"/>
      <c r="F51" s="52">
        <f t="shared" si="17"/>
        <v>-3178.2099999999846</v>
      </c>
      <c r="G51" s="41">
        <f t="shared" si="8"/>
        <v>886</v>
      </c>
      <c r="H51" s="52">
        <f t="shared" si="18"/>
        <v>-2292.2099999999846</v>
      </c>
      <c r="I51" s="53">
        <f t="shared" si="19"/>
        <v>-17</v>
      </c>
      <c r="J51" s="52"/>
      <c r="K51" s="52">
        <f t="shared" si="20"/>
        <v>-3195.2099999999846</v>
      </c>
      <c r="M51" s="52">
        <f t="shared" si="7"/>
        <v>1037</v>
      </c>
      <c r="N51" s="43"/>
    </row>
    <row r="52" spans="1:14">
      <c r="A52" s="51">
        <f t="shared" si="4"/>
        <v>40953</v>
      </c>
      <c r="B52" s="52">
        <f t="shared" si="15"/>
        <v>-3195.2099999999846</v>
      </c>
      <c r="C52" s="41">
        <f>'TSA $ Collected'!E45</f>
        <v>8036.64</v>
      </c>
      <c r="D52" s="53">
        <f t="shared" si="16"/>
        <v>-179</v>
      </c>
      <c r="E52" s="52"/>
      <c r="F52" s="52">
        <f t="shared" si="17"/>
        <v>4662.4300000000158</v>
      </c>
      <c r="G52" s="41">
        <f t="shared" si="8"/>
        <v>-1300</v>
      </c>
      <c r="H52" s="52">
        <f t="shared" si="18"/>
        <v>3362.4300000000158</v>
      </c>
      <c r="I52" s="53">
        <f t="shared" si="19"/>
        <v>26</v>
      </c>
      <c r="J52" s="52"/>
      <c r="K52" s="52">
        <f t="shared" si="20"/>
        <v>4688.4300000000158</v>
      </c>
      <c r="M52" s="52">
        <f t="shared" si="7"/>
        <v>1037</v>
      </c>
      <c r="N52" s="43"/>
    </row>
    <row r="53" spans="1:14">
      <c r="A53" s="51">
        <f t="shared" si="4"/>
        <v>40983</v>
      </c>
      <c r="B53" s="52">
        <f t="shared" si="15"/>
        <v>4688.4300000000158</v>
      </c>
      <c r="C53" s="41">
        <f>'TSA $ Collected'!E46</f>
        <v>5582.3099999999995</v>
      </c>
      <c r="D53" s="53">
        <f t="shared" si="16"/>
        <v>-124</v>
      </c>
      <c r="E53" s="52">
        <v>-17619.79</v>
      </c>
      <c r="F53" s="52">
        <f t="shared" si="17"/>
        <v>-7473.0499999999847</v>
      </c>
      <c r="G53" s="41">
        <f t="shared" si="8"/>
        <v>2084</v>
      </c>
      <c r="H53" s="52">
        <f t="shared" si="18"/>
        <v>-5389.0499999999847</v>
      </c>
      <c r="I53" s="53">
        <f t="shared" si="19"/>
        <v>-41</v>
      </c>
      <c r="J53" s="52"/>
      <c r="K53" s="52">
        <f t="shared" si="20"/>
        <v>-7514.0499999999847</v>
      </c>
      <c r="M53" s="52">
        <f t="shared" si="7"/>
        <v>1037</v>
      </c>
      <c r="N53" s="43">
        <v>-3424</v>
      </c>
    </row>
    <row r="54" spans="1:14">
      <c r="A54" s="51">
        <f t="shared" si="4"/>
        <v>41013</v>
      </c>
      <c r="B54" s="52">
        <f t="shared" si="15"/>
        <v>-7514.0499999999847</v>
      </c>
      <c r="C54" s="41">
        <f>'TSA $ Collected'!E47</f>
        <v>4423.2299999999996</v>
      </c>
      <c r="D54" s="53">
        <f t="shared" si="16"/>
        <v>-99</v>
      </c>
      <c r="E54" s="52"/>
      <c r="F54" s="52">
        <f t="shared" si="17"/>
        <v>-3189.8199999999852</v>
      </c>
      <c r="G54" s="41">
        <f t="shared" si="8"/>
        <v>890</v>
      </c>
      <c r="H54" s="52">
        <f t="shared" si="18"/>
        <v>-2299.8199999999852</v>
      </c>
      <c r="I54" s="53">
        <f t="shared" si="19"/>
        <v>-17</v>
      </c>
      <c r="J54" s="52"/>
      <c r="K54" s="52">
        <f t="shared" si="20"/>
        <v>-3206.8199999999852</v>
      </c>
      <c r="M54" s="52">
        <f t="shared" si="7"/>
        <v>1037</v>
      </c>
      <c r="N54" s="43"/>
    </row>
    <row r="55" spans="1:14">
      <c r="A55" s="51">
        <f t="shared" si="4"/>
        <v>41043</v>
      </c>
      <c r="B55" s="52">
        <f t="shared" si="15"/>
        <v>-3206.8199999999852</v>
      </c>
      <c r="C55" s="41">
        <f>'TSA $ Collected'!E48</f>
        <v>2865.14</v>
      </c>
      <c r="D55" s="53">
        <f t="shared" si="16"/>
        <v>-64</v>
      </c>
      <c r="E55" s="52"/>
      <c r="F55" s="52">
        <f t="shared" si="17"/>
        <v>-405.67999999998528</v>
      </c>
      <c r="G55" s="41">
        <f t="shared" si="8"/>
        <v>113</v>
      </c>
      <c r="H55" s="52">
        <f t="shared" si="18"/>
        <v>-292.67999999998528</v>
      </c>
      <c r="I55" s="53">
        <f t="shared" si="19"/>
        <v>-2</v>
      </c>
      <c r="J55" s="52"/>
      <c r="K55" s="52">
        <f t="shared" si="20"/>
        <v>-407.67999999998528</v>
      </c>
      <c r="M55" s="52">
        <f t="shared" si="7"/>
        <v>1037</v>
      </c>
      <c r="N55" s="43"/>
    </row>
    <row r="56" spans="1:14">
      <c r="A56" s="51">
        <f t="shared" si="4"/>
        <v>41073</v>
      </c>
      <c r="B56" s="52">
        <f t="shared" ref="B56:B76" si="21">K55</f>
        <v>-407.67999999998528</v>
      </c>
      <c r="C56" s="41">
        <f>'TSA $ Collected'!E49</f>
        <v>1938.43</v>
      </c>
      <c r="D56" s="53">
        <f t="shared" si="16"/>
        <v>-43</v>
      </c>
      <c r="E56" s="52"/>
      <c r="F56" s="52">
        <f t="shared" si="17"/>
        <v>1487.7500000000148</v>
      </c>
      <c r="G56" s="41">
        <f t="shared" si="8"/>
        <v>-415</v>
      </c>
      <c r="H56" s="52">
        <f t="shared" si="18"/>
        <v>1072.7500000000148</v>
      </c>
      <c r="I56" s="53">
        <f t="shared" si="19"/>
        <v>8</v>
      </c>
      <c r="J56" s="52"/>
      <c r="K56" s="52">
        <f t="shared" si="20"/>
        <v>1495.7500000000148</v>
      </c>
      <c r="M56" s="52">
        <f t="shared" si="7"/>
        <v>1037</v>
      </c>
      <c r="N56" s="43"/>
    </row>
    <row r="57" spans="1:14">
      <c r="A57" s="51">
        <f t="shared" si="4"/>
        <v>41103</v>
      </c>
      <c r="B57" s="52">
        <f t="shared" si="21"/>
        <v>1495.7500000000148</v>
      </c>
      <c r="C57" s="41">
        <f>'TSA $ Collected'!E50</f>
        <v>1675.9</v>
      </c>
      <c r="D57" s="53">
        <f t="shared" si="16"/>
        <v>-37</v>
      </c>
      <c r="E57" s="52"/>
      <c r="F57" s="52">
        <f t="shared" si="17"/>
        <v>3134.6500000000151</v>
      </c>
      <c r="G57" s="41">
        <f t="shared" si="8"/>
        <v>-874</v>
      </c>
      <c r="H57" s="52">
        <f t="shared" si="18"/>
        <v>2260.6500000000151</v>
      </c>
      <c r="I57" s="53">
        <f t="shared" si="19"/>
        <v>17</v>
      </c>
      <c r="J57" s="52"/>
      <c r="K57" s="52">
        <f t="shared" si="20"/>
        <v>3151.6500000000151</v>
      </c>
      <c r="M57" s="52">
        <f t="shared" si="7"/>
        <v>1037</v>
      </c>
      <c r="N57" s="43"/>
    </row>
    <row r="58" spans="1:14">
      <c r="A58" s="51">
        <f t="shared" si="4"/>
        <v>41133</v>
      </c>
      <c r="B58" s="52">
        <f t="shared" si="21"/>
        <v>3151.6500000000151</v>
      </c>
      <c r="C58" s="41">
        <f>'TSA $ Collected'!E51</f>
        <v>1552.38</v>
      </c>
      <c r="D58" s="53">
        <f t="shared" si="16"/>
        <v>-35</v>
      </c>
      <c r="E58" s="52"/>
      <c r="F58" s="52">
        <f t="shared" si="17"/>
        <v>4669.0300000000152</v>
      </c>
      <c r="G58" s="41">
        <f t="shared" si="8"/>
        <v>-1302</v>
      </c>
      <c r="H58" s="52">
        <f t="shared" si="18"/>
        <v>3367.0300000000152</v>
      </c>
      <c r="I58" s="53">
        <f t="shared" si="19"/>
        <v>26</v>
      </c>
      <c r="J58" s="52"/>
      <c r="K58" s="52">
        <f t="shared" si="20"/>
        <v>4695.0300000000152</v>
      </c>
      <c r="M58" s="52">
        <f t="shared" si="7"/>
        <v>1037</v>
      </c>
      <c r="N58" s="43"/>
    </row>
    <row r="59" spans="1:14">
      <c r="A59" s="51">
        <f t="shared" si="4"/>
        <v>41163</v>
      </c>
      <c r="B59" s="52">
        <f t="shared" si="21"/>
        <v>4695.0300000000152</v>
      </c>
      <c r="C59" s="41">
        <f>'TSA $ Collected'!E52</f>
        <v>1658.22</v>
      </c>
      <c r="D59" s="53">
        <f t="shared" si="16"/>
        <v>-37</v>
      </c>
      <c r="E59" s="52">
        <v>-15798.05</v>
      </c>
      <c r="F59" s="52">
        <f t="shared" si="17"/>
        <v>-9481.7999999999847</v>
      </c>
      <c r="G59" s="41">
        <f t="shared" si="8"/>
        <v>2644</v>
      </c>
      <c r="H59" s="52">
        <f t="shared" si="18"/>
        <v>-6837.7999999999847</v>
      </c>
      <c r="I59" s="53">
        <f t="shared" si="19"/>
        <v>-52</v>
      </c>
      <c r="J59" s="52"/>
      <c r="K59" s="52">
        <f t="shared" si="20"/>
        <v>-9533.7999999999847</v>
      </c>
      <c r="M59" s="52">
        <f t="shared" si="7"/>
        <v>1037</v>
      </c>
      <c r="N59" s="43">
        <v>-3288</v>
      </c>
    </row>
    <row r="60" spans="1:14">
      <c r="A60" s="51">
        <f t="shared" si="4"/>
        <v>41193</v>
      </c>
      <c r="B60" s="52">
        <f t="shared" si="21"/>
        <v>-9533.7999999999847</v>
      </c>
      <c r="C60" s="41">
        <f>'TSA $ Collected'!E53</f>
        <v>2798.01</v>
      </c>
      <c r="D60" s="53">
        <f t="shared" si="16"/>
        <v>-62</v>
      </c>
      <c r="E60" s="52"/>
      <c r="F60" s="52">
        <f t="shared" si="17"/>
        <v>-6797.7899999999845</v>
      </c>
      <c r="G60" s="41">
        <f t="shared" si="8"/>
        <v>1896</v>
      </c>
      <c r="H60" s="52">
        <f t="shared" si="18"/>
        <v>-4901.7899999999845</v>
      </c>
      <c r="I60" s="53">
        <f t="shared" si="19"/>
        <v>-37</v>
      </c>
      <c r="J60" s="52"/>
      <c r="K60" s="52">
        <f t="shared" si="20"/>
        <v>-6834.7899999999845</v>
      </c>
      <c r="M60" s="52">
        <f t="shared" si="7"/>
        <v>1037</v>
      </c>
      <c r="N60" s="43"/>
    </row>
    <row r="61" spans="1:14">
      <c r="A61" s="51">
        <f t="shared" si="4"/>
        <v>41223</v>
      </c>
      <c r="B61" s="52">
        <f t="shared" si="21"/>
        <v>-6834.7899999999845</v>
      </c>
      <c r="C61" s="41">
        <f>'TSA $ Collected'!E54</f>
        <v>6107.91</v>
      </c>
      <c r="D61" s="53">
        <f t="shared" si="16"/>
        <v>-136</v>
      </c>
      <c r="E61" s="52"/>
      <c r="F61" s="52">
        <f t="shared" si="17"/>
        <v>-862.87999999998465</v>
      </c>
      <c r="G61" s="41">
        <f t="shared" si="8"/>
        <v>241</v>
      </c>
      <c r="H61" s="52">
        <f t="shared" si="18"/>
        <v>-621.87999999998465</v>
      </c>
      <c r="I61" s="53">
        <f t="shared" si="19"/>
        <v>-5</v>
      </c>
      <c r="J61" s="52"/>
      <c r="K61" s="52">
        <f t="shared" si="20"/>
        <v>-867.87999999998465</v>
      </c>
      <c r="M61" s="52">
        <f t="shared" si="7"/>
        <v>1037</v>
      </c>
      <c r="N61" s="43"/>
    </row>
    <row r="62" spans="1:14">
      <c r="A62" s="51">
        <f t="shared" si="4"/>
        <v>41253</v>
      </c>
      <c r="B62" s="52">
        <f t="shared" si="21"/>
        <v>-867.87999999998465</v>
      </c>
      <c r="C62" s="41">
        <f>'TSA $ Collected'!E55</f>
        <v>7062.6900000000005</v>
      </c>
      <c r="D62" s="53">
        <f t="shared" si="16"/>
        <v>-157</v>
      </c>
      <c r="E62" s="52"/>
      <c r="F62" s="52">
        <f t="shared" si="17"/>
        <v>6037.8100000000159</v>
      </c>
      <c r="G62" s="41">
        <f t="shared" si="8"/>
        <v>-1684</v>
      </c>
      <c r="H62" s="52">
        <f t="shared" si="18"/>
        <v>4353.8100000000159</v>
      </c>
      <c r="I62" s="53">
        <f t="shared" si="19"/>
        <v>33</v>
      </c>
      <c r="J62" s="52"/>
      <c r="K62" s="52">
        <f t="shared" si="20"/>
        <v>6070.8100000000159</v>
      </c>
      <c r="M62" s="52">
        <f t="shared" si="7"/>
        <v>1037</v>
      </c>
      <c r="N62" s="43"/>
    </row>
    <row r="63" spans="1:14">
      <c r="A63" s="51">
        <f t="shared" si="4"/>
        <v>41283</v>
      </c>
      <c r="B63" s="52">
        <f t="shared" si="21"/>
        <v>6070.8100000000159</v>
      </c>
      <c r="C63" s="41">
        <f>'TSA $ Collected'!E56</f>
        <v>8306.27</v>
      </c>
      <c r="D63" s="53">
        <f t="shared" si="16"/>
        <v>-185</v>
      </c>
      <c r="E63" s="52"/>
      <c r="F63" s="52">
        <f t="shared" si="17"/>
        <v>14192.080000000016</v>
      </c>
      <c r="G63" s="41">
        <f t="shared" si="8"/>
        <v>-3958</v>
      </c>
      <c r="H63" s="52">
        <f t="shared" si="18"/>
        <v>10234.080000000016</v>
      </c>
      <c r="I63" s="53">
        <f t="shared" si="19"/>
        <v>78</v>
      </c>
      <c r="J63" s="52"/>
      <c r="K63" s="52">
        <f t="shared" si="20"/>
        <v>14270.080000000016</v>
      </c>
      <c r="M63" s="52">
        <f t="shared" si="7"/>
        <v>1037</v>
      </c>
      <c r="N63" s="43"/>
    </row>
    <row r="64" spans="1:14">
      <c r="A64" s="51">
        <f t="shared" si="4"/>
        <v>41313</v>
      </c>
      <c r="B64" s="52">
        <f t="shared" si="21"/>
        <v>14270.080000000016</v>
      </c>
      <c r="C64" s="41">
        <f>'TSA $ Collected'!E57</f>
        <v>9975.9600000000009</v>
      </c>
      <c r="D64" s="53">
        <f t="shared" si="16"/>
        <v>-222</v>
      </c>
      <c r="E64" s="52"/>
      <c r="F64" s="52">
        <f t="shared" si="17"/>
        <v>24024.040000000015</v>
      </c>
      <c r="G64" s="41">
        <f t="shared" si="8"/>
        <v>-6700</v>
      </c>
      <c r="H64" s="52">
        <f t="shared" si="18"/>
        <v>17324.040000000015</v>
      </c>
      <c r="I64" s="53">
        <f t="shared" si="19"/>
        <v>132</v>
      </c>
      <c r="J64" s="52"/>
      <c r="K64" s="52">
        <f t="shared" si="20"/>
        <v>24156.040000000015</v>
      </c>
      <c r="M64" s="52">
        <f t="shared" si="7"/>
        <v>1037</v>
      </c>
      <c r="N64" s="43"/>
    </row>
    <row r="65" spans="1:14">
      <c r="A65" s="51">
        <f t="shared" si="4"/>
        <v>41343</v>
      </c>
      <c r="B65" s="52">
        <f t="shared" si="21"/>
        <v>24156.040000000015</v>
      </c>
      <c r="C65" s="41">
        <f>'TSA $ Collected'!E58</f>
        <v>8100.9500000000007</v>
      </c>
      <c r="D65" s="53">
        <f t="shared" si="16"/>
        <v>-180</v>
      </c>
      <c r="E65" s="52">
        <v>-16690.89</v>
      </c>
      <c r="F65" s="52">
        <f t="shared" si="17"/>
        <v>15386.100000000017</v>
      </c>
      <c r="G65" s="41">
        <f t="shared" si="8"/>
        <v>-4291</v>
      </c>
      <c r="H65" s="52">
        <f t="shared" si="18"/>
        <v>11095.100000000017</v>
      </c>
      <c r="I65" s="53">
        <f t="shared" si="19"/>
        <v>84</v>
      </c>
      <c r="J65" s="52"/>
      <c r="K65" s="52">
        <f t="shared" si="20"/>
        <v>15470.100000000017</v>
      </c>
      <c r="M65" s="52">
        <f t="shared" si="7"/>
        <v>1037</v>
      </c>
      <c r="N65" s="43">
        <v>-3389</v>
      </c>
    </row>
    <row r="66" spans="1:14">
      <c r="A66" s="51">
        <f t="shared" si="4"/>
        <v>41373</v>
      </c>
      <c r="B66" s="52">
        <f t="shared" si="21"/>
        <v>15470.100000000017</v>
      </c>
      <c r="C66" s="41">
        <f>'TSA $ Collected'!E59</f>
        <v>4966.24</v>
      </c>
      <c r="D66" s="53">
        <f t="shared" si="16"/>
        <v>-111</v>
      </c>
      <c r="E66" s="52"/>
      <c r="F66" s="52">
        <f t="shared" si="17"/>
        <v>20325.340000000018</v>
      </c>
      <c r="G66" s="41">
        <f t="shared" si="8"/>
        <v>-5669</v>
      </c>
      <c r="H66" s="52">
        <f t="shared" si="18"/>
        <v>14656.340000000018</v>
      </c>
      <c r="I66" s="53">
        <f t="shared" si="19"/>
        <v>111</v>
      </c>
      <c r="J66" s="52"/>
      <c r="K66" s="52">
        <f t="shared" si="20"/>
        <v>20436.340000000018</v>
      </c>
      <c r="M66" s="52">
        <f t="shared" si="7"/>
        <v>1037</v>
      </c>
      <c r="N66" s="43"/>
    </row>
    <row r="67" spans="1:14">
      <c r="A67" s="51">
        <f t="shared" si="4"/>
        <v>41403</v>
      </c>
      <c r="B67" s="52">
        <f t="shared" si="21"/>
        <v>20436.340000000018</v>
      </c>
      <c r="C67" s="41">
        <f>'TSA $ Collected'!E60</f>
        <v>2723.4700000000003</v>
      </c>
      <c r="D67" s="53">
        <f t="shared" si="16"/>
        <v>-61</v>
      </c>
      <c r="E67" s="52"/>
      <c r="F67" s="52">
        <f t="shared" si="17"/>
        <v>23098.810000000019</v>
      </c>
      <c r="G67" s="41">
        <f t="shared" si="8"/>
        <v>-6442</v>
      </c>
      <c r="H67" s="52">
        <f t="shared" si="18"/>
        <v>16656.810000000019</v>
      </c>
      <c r="I67" s="53">
        <f t="shared" si="19"/>
        <v>126</v>
      </c>
      <c r="J67" s="52"/>
      <c r="K67" s="52">
        <f t="shared" si="20"/>
        <v>23224.810000000019</v>
      </c>
      <c r="M67" s="52">
        <f t="shared" si="7"/>
        <v>1037</v>
      </c>
      <c r="N67" s="43"/>
    </row>
    <row r="68" spans="1:14">
      <c r="A68" s="51">
        <f t="shared" si="4"/>
        <v>41433</v>
      </c>
      <c r="B68" s="52">
        <f t="shared" si="21"/>
        <v>23224.810000000019</v>
      </c>
      <c r="C68" s="41">
        <f>'TSA $ Collected'!E61</f>
        <v>2091.14</v>
      </c>
      <c r="D68" s="53">
        <f t="shared" si="16"/>
        <v>-47</v>
      </c>
      <c r="E68" s="52"/>
      <c r="F68" s="52">
        <f t="shared" si="17"/>
        <v>25268.950000000019</v>
      </c>
      <c r="G68" s="41">
        <f t="shared" si="8"/>
        <v>-7048</v>
      </c>
      <c r="H68" s="52">
        <f t="shared" si="18"/>
        <v>18220.950000000019</v>
      </c>
      <c r="I68" s="53">
        <f t="shared" si="19"/>
        <v>138</v>
      </c>
      <c r="J68" s="52"/>
      <c r="K68" s="52">
        <f t="shared" si="20"/>
        <v>25406.950000000019</v>
      </c>
      <c r="M68" s="52">
        <f t="shared" si="7"/>
        <v>1037</v>
      </c>
      <c r="N68" s="43"/>
    </row>
    <row r="69" spans="1:14">
      <c r="A69" s="51">
        <f t="shared" si="4"/>
        <v>41463</v>
      </c>
      <c r="B69" s="52">
        <f t="shared" si="21"/>
        <v>25406.950000000019</v>
      </c>
      <c r="C69" s="41">
        <f>'TSA $ Collected'!E62</f>
        <v>1597.18</v>
      </c>
      <c r="D69" s="53">
        <f t="shared" si="16"/>
        <v>-36</v>
      </c>
      <c r="E69" s="52"/>
      <c r="F69" s="52">
        <f t="shared" si="17"/>
        <v>26968.130000000019</v>
      </c>
      <c r="G69" s="41">
        <f t="shared" si="8"/>
        <v>-7521</v>
      </c>
      <c r="H69" s="52">
        <f t="shared" si="18"/>
        <v>19447.130000000019</v>
      </c>
      <c r="I69" s="53">
        <f t="shared" si="19"/>
        <v>148</v>
      </c>
      <c r="J69" s="52"/>
      <c r="K69" s="52">
        <f t="shared" si="20"/>
        <v>27116.130000000019</v>
      </c>
      <c r="M69" s="52">
        <f t="shared" si="7"/>
        <v>1037</v>
      </c>
      <c r="N69" s="43"/>
    </row>
    <row r="70" spans="1:14">
      <c r="A70" s="51">
        <f t="shared" si="4"/>
        <v>41493</v>
      </c>
      <c r="B70" s="52">
        <f t="shared" si="21"/>
        <v>27116.130000000019</v>
      </c>
      <c r="C70" s="41">
        <f>'TSA $ Collected'!E63</f>
        <v>1469.53</v>
      </c>
      <c r="D70" s="53">
        <f t="shared" si="16"/>
        <v>-33</v>
      </c>
      <c r="E70" s="52"/>
      <c r="F70" s="52">
        <f t="shared" si="17"/>
        <v>28552.660000000018</v>
      </c>
      <c r="G70" s="41">
        <f t="shared" si="8"/>
        <v>-7963</v>
      </c>
      <c r="H70" s="52">
        <f t="shared" si="18"/>
        <v>20589.660000000018</v>
      </c>
      <c r="I70" s="53">
        <f t="shared" si="19"/>
        <v>156</v>
      </c>
      <c r="J70" s="52"/>
      <c r="K70" s="52">
        <f>F70+I70</f>
        <v>28708.660000000018</v>
      </c>
      <c r="M70" s="52">
        <f t="shared" si="7"/>
        <v>1037</v>
      </c>
      <c r="N70" s="43"/>
    </row>
    <row r="71" spans="1:14">
      <c r="A71" s="51">
        <f t="shared" si="4"/>
        <v>41523</v>
      </c>
      <c r="B71" s="52">
        <f t="shared" si="21"/>
        <v>28708.660000000018</v>
      </c>
      <c r="C71" s="41">
        <f>'TSA $ Collected'!E64</f>
        <v>1764.33</v>
      </c>
      <c r="D71" s="53">
        <f t="shared" si="16"/>
        <v>-39</v>
      </c>
      <c r="E71" s="52">
        <v>-9153.57</v>
      </c>
      <c r="F71" s="52">
        <f t="shared" si="17"/>
        <v>21280.42000000002</v>
      </c>
      <c r="G71" s="41">
        <f t="shared" si="8"/>
        <v>-5935</v>
      </c>
      <c r="H71" s="52">
        <f t="shared" si="18"/>
        <v>15345.42000000002</v>
      </c>
      <c r="I71" s="53">
        <f t="shared" si="19"/>
        <v>116</v>
      </c>
      <c r="J71" s="52"/>
      <c r="K71" s="52">
        <f t="shared" si="20"/>
        <v>21396.42000000002</v>
      </c>
      <c r="M71" s="52">
        <f t="shared" si="7"/>
        <v>1037</v>
      </c>
      <c r="N71" s="43">
        <v>-2705</v>
      </c>
    </row>
    <row r="72" spans="1:14">
      <c r="A72" s="51">
        <f t="shared" si="4"/>
        <v>41553</v>
      </c>
      <c r="B72" s="52">
        <f t="shared" si="21"/>
        <v>21396.42000000002</v>
      </c>
      <c r="C72" s="41">
        <f>'TSA $ Collected'!E65</f>
        <v>2805.3199999999997</v>
      </c>
      <c r="D72" s="53">
        <f t="shared" si="16"/>
        <v>-62</v>
      </c>
      <c r="E72" s="52"/>
      <c r="F72" s="52">
        <f t="shared" si="17"/>
        <v>24139.74000000002</v>
      </c>
      <c r="G72" s="41">
        <f t="shared" si="8"/>
        <v>-6733</v>
      </c>
      <c r="H72" s="52">
        <f t="shared" si="18"/>
        <v>17406.74000000002</v>
      </c>
      <c r="I72" s="53">
        <f t="shared" si="19"/>
        <v>132</v>
      </c>
      <c r="J72" s="52"/>
      <c r="K72" s="52">
        <f t="shared" si="20"/>
        <v>24271.74000000002</v>
      </c>
      <c r="M72" s="52">
        <f t="shared" si="7"/>
        <v>1037</v>
      </c>
      <c r="N72" s="43"/>
    </row>
    <row r="73" spans="1:14">
      <c r="A73" s="51">
        <f t="shared" si="4"/>
        <v>41583</v>
      </c>
      <c r="B73" s="52">
        <f t="shared" si="21"/>
        <v>24271.74000000002</v>
      </c>
      <c r="C73" s="41">
        <f>'TSA $ Collected'!E66</f>
        <v>6264.42</v>
      </c>
      <c r="D73" s="53">
        <f t="shared" si="16"/>
        <v>-140</v>
      </c>
      <c r="E73" s="52"/>
      <c r="F73" s="52">
        <f t="shared" si="17"/>
        <v>30396.160000000018</v>
      </c>
      <c r="G73" s="41">
        <f t="shared" si="8"/>
        <v>-8477</v>
      </c>
      <c r="H73" s="52">
        <f t="shared" si="18"/>
        <v>21919.160000000018</v>
      </c>
      <c r="I73" s="53">
        <f t="shared" si="19"/>
        <v>166</v>
      </c>
      <c r="J73" s="52"/>
      <c r="K73" s="52">
        <f t="shared" si="20"/>
        <v>30562.160000000018</v>
      </c>
      <c r="M73" s="52">
        <f t="shared" si="7"/>
        <v>1037</v>
      </c>
      <c r="N73" s="43"/>
    </row>
    <row r="74" spans="1:14">
      <c r="A74" s="51">
        <f t="shared" si="4"/>
        <v>41613</v>
      </c>
      <c r="B74" s="52">
        <f t="shared" si="21"/>
        <v>30562.160000000018</v>
      </c>
      <c r="C74" s="41">
        <f>'TSA $ Collected'!E67</f>
        <v>8575.44</v>
      </c>
      <c r="D74" s="53">
        <f t="shared" si="16"/>
        <v>-191</v>
      </c>
      <c r="E74" s="52"/>
      <c r="F74" s="52">
        <f t="shared" si="17"/>
        <v>38946.60000000002</v>
      </c>
      <c r="G74" s="41">
        <f t="shared" si="8"/>
        <v>-10862</v>
      </c>
      <c r="H74" s="52">
        <f t="shared" si="18"/>
        <v>28084.60000000002</v>
      </c>
      <c r="I74" s="53">
        <f t="shared" si="19"/>
        <v>213</v>
      </c>
      <c r="J74" s="52"/>
      <c r="K74" s="52">
        <f t="shared" si="20"/>
        <v>39159.60000000002</v>
      </c>
      <c r="M74" s="52">
        <f t="shared" si="7"/>
        <v>1037</v>
      </c>
      <c r="N74" s="43"/>
    </row>
    <row r="75" spans="1:14">
      <c r="A75" s="51">
        <f t="shared" si="4"/>
        <v>41643</v>
      </c>
      <c r="B75" s="52">
        <f t="shared" si="21"/>
        <v>39159.60000000002</v>
      </c>
      <c r="C75" s="41">
        <f>'TSA $ Collected'!E68</f>
        <v>8288.41</v>
      </c>
      <c r="D75" s="53">
        <f t="shared" si="16"/>
        <v>-185</v>
      </c>
      <c r="E75" s="52"/>
      <c r="F75" s="52">
        <f t="shared" si="17"/>
        <v>47263.010000000024</v>
      </c>
      <c r="G75" s="41">
        <f t="shared" si="8"/>
        <v>-13182</v>
      </c>
      <c r="H75" s="52">
        <f t="shared" si="18"/>
        <v>34081.010000000024</v>
      </c>
      <c r="I75" s="53">
        <f t="shared" si="19"/>
        <v>259</v>
      </c>
      <c r="J75" s="52"/>
      <c r="K75" s="52">
        <f t="shared" si="20"/>
        <v>47522.010000000024</v>
      </c>
      <c r="M75" s="52">
        <f t="shared" si="7"/>
        <v>1037</v>
      </c>
      <c r="N75" s="43"/>
    </row>
    <row r="76" spans="1:14">
      <c r="A76" s="51">
        <f t="shared" si="4"/>
        <v>41673</v>
      </c>
      <c r="B76" s="52">
        <f t="shared" si="21"/>
        <v>47522.010000000024</v>
      </c>
      <c r="C76" s="41">
        <f>'TSA $ Collected'!E69</f>
        <v>9471.3000000000011</v>
      </c>
      <c r="D76" s="53">
        <f t="shared" si="16"/>
        <v>-211</v>
      </c>
      <c r="E76" s="52"/>
      <c r="F76" s="52">
        <f t="shared" si="17"/>
        <v>56782.310000000027</v>
      </c>
      <c r="G76" s="41">
        <f t="shared" si="8"/>
        <v>-15837</v>
      </c>
      <c r="H76" s="52">
        <f t="shared" si="18"/>
        <v>40945.310000000027</v>
      </c>
      <c r="I76" s="53">
        <f t="shared" si="19"/>
        <v>311</v>
      </c>
      <c r="J76" s="52"/>
      <c r="K76" s="52">
        <f t="shared" si="20"/>
        <v>57093.310000000027</v>
      </c>
      <c r="M76" s="52">
        <f t="shared" si="7"/>
        <v>1037</v>
      </c>
      <c r="N76" s="43"/>
    </row>
    <row r="77" spans="1:14">
      <c r="A77" s="51">
        <f t="shared" si="4"/>
        <v>41703</v>
      </c>
      <c r="B77" s="52">
        <f>K76</f>
        <v>57093.310000000027</v>
      </c>
      <c r="C77" s="41">
        <f>'TSA $ Collected'!E70</f>
        <v>7549.3899999999994</v>
      </c>
      <c r="D77" s="53">
        <f t="shared" si="16"/>
        <v>-168</v>
      </c>
      <c r="E77" s="52"/>
      <c r="F77" s="52">
        <f t="shared" si="17"/>
        <v>64474.700000000026</v>
      </c>
      <c r="G77" s="41">
        <f t="shared" si="8"/>
        <v>-17982</v>
      </c>
      <c r="H77" s="52">
        <f t="shared" si="18"/>
        <v>46492.700000000026</v>
      </c>
      <c r="I77" s="53">
        <f t="shared" si="19"/>
        <v>353</v>
      </c>
      <c r="J77" s="52"/>
      <c r="K77" s="52">
        <f t="shared" si="20"/>
        <v>64827.700000000026</v>
      </c>
      <c r="M77" s="52">
        <f t="shared" si="7"/>
        <v>1037</v>
      </c>
      <c r="N77" s="43">
        <v>-2876</v>
      </c>
    </row>
    <row r="78" spans="1:14">
      <c r="A78" s="51">
        <f t="shared" si="4"/>
        <v>41733</v>
      </c>
      <c r="B78" s="52">
        <f>K77</f>
        <v>64827.700000000026</v>
      </c>
      <c r="C78" s="41">
        <f>'TSA $ Collected'!E71</f>
        <v>4005.35</v>
      </c>
      <c r="D78" s="53">
        <f t="shared" si="16"/>
        <v>-89</v>
      </c>
      <c r="E78" s="52"/>
      <c r="F78" s="52">
        <f t="shared" si="17"/>
        <v>68744.050000000032</v>
      </c>
      <c r="G78" s="41">
        <f t="shared" si="8"/>
        <v>-19173</v>
      </c>
      <c r="H78" s="52">
        <f t="shared" si="18"/>
        <v>49571.050000000032</v>
      </c>
      <c r="I78" s="53">
        <f t="shared" si="19"/>
        <v>376</v>
      </c>
      <c r="J78" s="52"/>
      <c r="K78" s="52">
        <f t="shared" si="20"/>
        <v>69120.050000000032</v>
      </c>
      <c r="M78" s="52">
        <f t="shared" si="7"/>
        <v>1037</v>
      </c>
      <c r="N78" s="43"/>
    </row>
    <row r="79" spans="1:14">
      <c r="A79" s="51">
        <f t="shared" si="4"/>
        <v>41763</v>
      </c>
      <c r="B79" s="52">
        <f>K78</f>
        <v>69120.050000000032</v>
      </c>
      <c r="C79" s="41">
        <f>'TSA $ Collected'!E72</f>
        <v>1973.9499999999998</v>
      </c>
      <c r="D79" s="53">
        <f t="shared" si="16"/>
        <v>-44</v>
      </c>
      <c r="E79" s="52"/>
      <c r="F79" s="52">
        <f t="shared" si="17"/>
        <v>71050.000000000029</v>
      </c>
      <c r="G79" s="41">
        <f t="shared" si="8"/>
        <v>-19816</v>
      </c>
      <c r="H79" s="52">
        <f t="shared" si="18"/>
        <v>51234.000000000029</v>
      </c>
      <c r="I79" s="53">
        <f t="shared" si="19"/>
        <v>389</v>
      </c>
      <c r="J79" s="52"/>
      <c r="K79" s="52">
        <f t="shared" si="20"/>
        <v>71439.000000000029</v>
      </c>
      <c r="M79" s="52">
        <f t="shared" si="7"/>
        <v>1037</v>
      </c>
      <c r="N79" s="43"/>
    </row>
    <row r="80" spans="1:14">
      <c r="A80" s="51">
        <f t="shared" si="4"/>
        <v>41793</v>
      </c>
      <c r="B80" s="52">
        <f>K79</f>
        <v>71439.000000000029</v>
      </c>
      <c r="C80" s="41">
        <f>'TSA $ Collected'!E73</f>
        <v>1201.78</v>
      </c>
      <c r="D80" s="53">
        <f t="shared" si="16"/>
        <v>-27</v>
      </c>
      <c r="E80" s="52"/>
      <c r="F80" s="52">
        <f t="shared" si="17"/>
        <v>72613.780000000028</v>
      </c>
      <c r="G80" s="41">
        <f t="shared" si="8"/>
        <v>-20252</v>
      </c>
      <c r="H80" s="52">
        <f t="shared" si="18"/>
        <v>52361.780000000028</v>
      </c>
      <c r="I80" s="53">
        <f t="shared" si="19"/>
        <v>398</v>
      </c>
      <c r="J80" s="52"/>
      <c r="K80" s="52">
        <f>F80+I80</f>
        <v>73011.780000000028</v>
      </c>
      <c r="M80" s="52">
        <f t="shared" si="7"/>
        <v>1037</v>
      </c>
      <c r="N80" s="43"/>
    </row>
    <row r="82" spans="3:14">
      <c r="C82" s="41">
        <f>SUM(C18:C81)</f>
        <v>275047.13000000006</v>
      </c>
      <c r="D82" s="41">
        <f>SUM(D18:D81)</f>
        <v>-6129</v>
      </c>
      <c r="E82" s="41">
        <f>SUM(E18:E81)</f>
        <v>-194973.34999999998</v>
      </c>
      <c r="I82" s="41">
        <f>SUM(I18:I81)</f>
        <v>-933</v>
      </c>
      <c r="M82" s="41">
        <f>SUM(M18:M81)</f>
        <v>65331</v>
      </c>
      <c r="N82" s="41">
        <f>SUM(N17:N81)</f>
        <v>-39819</v>
      </c>
    </row>
    <row r="84" spans="3:14">
      <c r="H84" s="41"/>
    </row>
  </sheetData>
  <pageMargins left="0.2" right="0" top="0.75" bottom="0.2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M71"/>
  <sheetViews>
    <sheetView tabSelected="1" workbookViewId="0">
      <selection activeCell="F35" sqref="F35"/>
    </sheetView>
  </sheetViews>
  <sheetFormatPr defaultRowHeight="15"/>
  <cols>
    <col min="1" max="1" width="7.5703125" customWidth="1"/>
    <col min="2" max="2" width="13.85546875" customWidth="1"/>
    <col min="3" max="4" width="13.5703125" customWidth="1"/>
    <col min="5" max="5" width="13.85546875" customWidth="1"/>
    <col min="6" max="6" width="12" customWidth="1"/>
    <col min="7" max="7" width="12.42578125" customWidth="1"/>
    <col min="8" max="8" width="13.85546875" customWidth="1"/>
    <col min="9" max="9" width="12" customWidth="1"/>
    <col min="10" max="10" width="12.28515625" customWidth="1"/>
    <col min="11" max="11" width="3.140625" customWidth="1"/>
    <col min="12" max="12" width="12.140625" customWidth="1"/>
    <col min="13" max="13" width="28.42578125" customWidth="1"/>
  </cols>
  <sheetData>
    <row r="1" spans="1:13" s="75" customFormat="1">
      <c r="I1" s="22" t="s">
        <v>146</v>
      </c>
    </row>
    <row r="2" spans="1:13">
      <c r="A2" s="38" t="s">
        <v>121</v>
      </c>
      <c r="B2" s="33"/>
      <c r="C2" s="33"/>
      <c r="D2" s="33"/>
      <c r="E2" s="33"/>
      <c r="F2" s="33"/>
      <c r="G2" s="33"/>
      <c r="H2" s="33"/>
      <c r="I2" s="33"/>
      <c r="J2" s="75"/>
    </row>
    <row r="3" spans="1:13">
      <c r="A3" s="77"/>
      <c r="B3" s="77" t="s">
        <v>89</v>
      </c>
      <c r="C3" s="98" t="s">
        <v>90</v>
      </c>
      <c r="D3" s="101" t="s">
        <v>78</v>
      </c>
      <c r="E3" s="104" t="s">
        <v>102</v>
      </c>
      <c r="F3" s="104" t="s">
        <v>101</v>
      </c>
      <c r="G3" s="105" t="s">
        <v>88</v>
      </c>
      <c r="H3" s="110" t="s">
        <v>77</v>
      </c>
      <c r="I3" s="110" t="s">
        <v>104</v>
      </c>
      <c r="J3" s="111" t="s">
        <v>77</v>
      </c>
      <c r="L3" s="204" t="s">
        <v>53</v>
      </c>
    </row>
    <row r="4" spans="1:13">
      <c r="A4" s="79" t="s">
        <v>19</v>
      </c>
      <c r="B4" s="76" t="s">
        <v>116</v>
      </c>
      <c r="C4" s="99" t="s">
        <v>117</v>
      </c>
      <c r="D4" s="102" t="s">
        <v>64</v>
      </c>
      <c r="E4" s="106" t="s">
        <v>119</v>
      </c>
      <c r="F4" s="106" t="s">
        <v>67</v>
      </c>
      <c r="G4" s="107" t="s">
        <v>64</v>
      </c>
      <c r="H4" s="112" t="s">
        <v>119</v>
      </c>
      <c r="I4" s="112" t="s">
        <v>67</v>
      </c>
      <c r="J4" s="113" t="s">
        <v>64</v>
      </c>
      <c r="L4" s="205" t="s">
        <v>103</v>
      </c>
    </row>
    <row r="5" spans="1:13">
      <c r="A5" s="79" t="s">
        <v>107</v>
      </c>
      <c r="B5" s="76" t="s">
        <v>82</v>
      </c>
      <c r="C5" s="99" t="s">
        <v>105</v>
      </c>
      <c r="D5" s="102" t="s">
        <v>82</v>
      </c>
      <c r="E5" s="106" t="s">
        <v>80</v>
      </c>
      <c r="F5" s="106" t="s">
        <v>105</v>
      </c>
      <c r="G5" s="107"/>
      <c r="H5" s="112" t="s">
        <v>109</v>
      </c>
      <c r="I5" s="112" t="s">
        <v>105</v>
      </c>
      <c r="J5" s="113"/>
      <c r="L5" s="206" t="s">
        <v>61</v>
      </c>
    </row>
    <row r="6" spans="1:13">
      <c r="A6" s="78"/>
      <c r="B6" s="78" t="s">
        <v>83</v>
      </c>
      <c r="C6" s="100" t="s">
        <v>111</v>
      </c>
      <c r="D6" s="103" t="s">
        <v>83</v>
      </c>
      <c r="E6" s="108" t="s">
        <v>110</v>
      </c>
      <c r="F6" s="108" t="s">
        <v>112</v>
      </c>
      <c r="G6" s="109"/>
      <c r="H6" s="114" t="s">
        <v>110</v>
      </c>
      <c r="I6" s="114" t="s">
        <v>113</v>
      </c>
      <c r="J6" s="115"/>
      <c r="L6" s="207" t="s">
        <v>39</v>
      </c>
    </row>
    <row r="7" spans="1:13">
      <c r="A7" s="34">
        <v>39933</v>
      </c>
      <c r="B7" s="90">
        <v>0</v>
      </c>
      <c r="C7" s="80"/>
      <c r="D7" s="93">
        <f>B7+C7</f>
        <v>0</v>
      </c>
      <c r="E7" s="58">
        <v>0</v>
      </c>
      <c r="F7" s="80"/>
      <c r="G7" s="93">
        <f>E7+F7</f>
        <v>0</v>
      </c>
      <c r="H7" s="58">
        <v>0</v>
      </c>
      <c r="I7" s="80"/>
      <c r="J7" s="93">
        <f>H7+I7</f>
        <v>0</v>
      </c>
      <c r="L7" s="208"/>
    </row>
    <row r="8" spans="1:13">
      <c r="A8" s="34">
        <v>39964</v>
      </c>
      <c r="B8" s="91">
        <v>0</v>
      </c>
      <c r="C8" s="80"/>
      <c r="D8" s="94">
        <f>D7-B8+C8</f>
        <v>0</v>
      </c>
      <c r="E8" s="58">
        <v>0</v>
      </c>
      <c r="F8" s="80"/>
      <c r="G8" s="94">
        <f>G7-E8+F8</f>
        <v>0</v>
      </c>
      <c r="H8" s="58">
        <v>0</v>
      </c>
      <c r="I8" s="80"/>
      <c r="J8" s="94">
        <f>J7-H8+I8</f>
        <v>0</v>
      </c>
      <c r="L8" s="209"/>
    </row>
    <row r="9" spans="1:13">
      <c r="A9" s="34">
        <f>A8+30</f>
        <v>39994</v>
      </c>
      <c r="B9" s="91">
        <v>0</v>
      </c>
      <c r="C9" s="80"/>
      <c r="D9" s="94">
        <f t="shared" ref="D9:D69" si="0">D8-B9+C9</f>
        <v>0</v>
      </c>
      <c r="E9" s="58">
        <v>0</v>
      </c>
      <c r="F9" s="80"/>
      <c r="G9" s="94">
        <f t="shared" ref="G9:G69" si="1">G8-E9+F9</f>
        <v>0</v>
      </c>
      <c r="H9" s="58">
        <v>0</v>
      </c>
      <c r="I9" s="80"/>
      <c r="J9" s="94">
        <f t="shared" ref="J9:J69" si="2">J8-H9+I9</f>
        <v>0</v>
      </c>
      <c r="L9" s="209"/>
    </row>
    <row r="10" spans="1:13">
      <c r="A10" s="34">
        <f t="shared" ref="A10:A69" si="3">A9+30</f>
        <v>40024</v>
      </c>
      <c r="B10" s="91">
        <v>614.59</v>
      </c>
      <c r="C10" s="80"/>
      <c r="D10" s="94">
        <f t="shared" si="0"/>
        <v>-614.59</v>
      </c>
      <c r="E10" s="58">
        <v>168.61</v>
      </c>
      <c r="F10" s="80"/>
      <c r="G10" s="94">
        <f t="shared" si="1"/>
        <v>-168.61</v>
      </c>
      <c r="H10" s="58">
        <v>695.32</v>
      </c>
      <c r="I10" s="80"/>
      <c r="J10" s="94">
        <f t="shared" si="2"/>
        <v>-695.32</v>
      </c>
      <c r="L10" s="209"/>
    </row>
    <row r="11" spans="1:13">
      <c r="A11" s="34">
        <f t="shared" si="3"/>
        <v>40054</v>
      </c>
      <c r="B11" s="91">
        <v>563.63</v>
      </c>
      <c r="C11" s="88">
        <v>42579.56</v>
      </c>
      <c r="D11" s="94">
        <f t="shared" si="0"/>
        <v>41401.339999999997</v>
      </c>
      <c r="E11" s="58">
        <v>173.68</v>
      </c>
      <c r="F11" s="88">
        <v>3765</v>
      </c>
      <c r="G11" s="94">
        <f t="shared" si="1"/>
        <v>3422.71</v>
      </c>
      <c r="H11" s="58">
        <v>672.39</v>
      </c>
      <c r="I11" s="88">
        <v>10434</v>
      </c>
      <c r="J11" s="94">
        <f t="shared" si="2"/>
        <v>9066.2900000000009</v>
      </c>
      <c r="L11" s="210">
        <f>C11+F11+I11</f>
        <v>56778.559999999998</v>
      </c>
      <c r="M11" s="95" t="s">
        <v>106</v>
      </c>
    </row>
    <row r="12" spans="1:13">
      <c r="A12" s="34">
        <f t="shared" si="3"/>
        <v>40084</v>
      </c>
      <c r="B12" s="91">
        <v>678.59</v>
      </c>
      <c r="C12" s="80"/>
      <c r="D12" s="94">
        <f t="shared" si="0"/>
        <v>40722.75</v>
      </c>
      <c r="E12" s="58">
        <v>199.52</v>
      </c>
      <c r="F12" s="80"/>
      <c r="G12" s="94">
        <f t="shared" si="1"/>
        <v>3223.19</v>
      </c>
      <c r="H12" s="58">
        <v>908.59</v>
      </c>
      <c r="I12" s="80"/>
      <c r="J12" s="94">
        <f t="shared" si="2"/>
        <v>8157.7000000000007</v>
      </c>
      <c r="L12" s="209"/>
      <c r="M12" s="96"/>
    </row>
    <row r="13" spans="1:13">
      <c r="A13" s="34">
        <f t="shared" si="3"/>
        <v>40114</v>
      </c>
      <c r="B13" s="91">
        <v>1922.82</v>
      </c>
      <c r="C13" s="80"/>
      <c r="D13" s="94">
        <f t="shared" si="0"/>
        <v>38799.93</v>
      </c>
      <c r="E13" s="58">
        <v>231.21</v>
      </c>
      <c r="F13" s="80"/>
      <c r="G13" s="94">
        <f t="shared" si="1"/>
        <v>2991.98</v>
      </c>
      <c r="H13" s="58">
        <v>1116.77</v>
      </c>
      <c r="I13" s="80"/>
      <c r="J13" s="94">
        <f t="shared" si="2"/>
        <v>7040.93</v>
      </c>
      <c r="L13" s="209"/>
      <c r="M13" s="96"/>
    </row>
    <row r="14" spans="1:13">
      <c r="A14" s="34">
        <f t="shared" si="3"/>
        <v>40144</v>
      </c>
      <c r="B14" s="91">
        <v>2730.53</v>
      </c>
      <c r="C14" s="80"/>
      <c r="D14" s="94">
        <f t="shared" si="0"/>
        <v>36069.4</v>
      </c>
      <c r="E14" s="58">
        <v>271.26</v>
      </c>
      <c r="F14" s="80"/>
      <c r="G14" s="94">
        <f t="shared" si="1"/>
        <v>2720.7200000000003</v>
      </c>
      <c r="H14" s="58">
        <v>1333.76</v>
      </c>
      <c r="I14" s="80"/>
      <c r="J14" s="94">
        <f t="shared" si="2"/>
        <v>5707.17</v>
      </c>
      <c r="L14" s="209"/>
      <c r="M14" s="96"/>
    </row>
    <row r="15" spans="1:13">
      <c r="A15" s="34">
        <f t="shared" si="3"/>
        <v>40174</v>
      </c>
      <c r="B15" s="91">
        <v>4959.33</v>
      </c>
      <c r="C15" s="80"/>
      <c r="D15" s="94">
        <f t="shared" si="0"/>
        <v>31110.07</v>
      </c>
      <c r="E15" s="58">
        <v>315.43</v>
      </c>
      <c r="F15" s="80"/>
      <c r="G15" s="94">
        <f t="shared" si="1"/>
        <v>2405.2900000000004</v>
      </c>
      <c r="H15" s="58">
        <v>1761.46</v>
      </c>
      <c r="I15" s="80"/>
      <c r="J15" s="94">
        <f t="shared" si="2"/>
        <v>3945.71</v>
      </c>
      <c r="L15" s="209"/>
      <c r="M15" s="96"/>
    </row>
    <row r="16" spans="1:13">
      <c r="A16" s="34">
        <f t="shared" si="3"/>
        <v>40204</v>
      </c>
      <c r="B16" s="91">
        <v>6810.37</v>
      </c>
      <c r="C16" s="80"/>
      <c r="D16" s="94">
        <f t="shared" si="0"/>
        <v>24299.7</v>
      </c>
      <c r="E16" s="58">
        <v>449.89</v>
      </c>
      <c r="F16" s="80"/>
      <c r="G16" s="94">
        <f t="shared" si="1"/>
        <v>1955.4000000000005</v>
      </c>
      <c r="H16" s="58">
        <v>2257.4299999999998</v>
      </c>
      <c r="I16" s="80"/>
      <c r="J16" s="94">
        <f t="shared" si="2"/>
        <v>1688.2800000000002</v>
      </c>
      <c r="L16" s="209"/>
      <c r="M16" s="96"/>
    </row>
    <row r="17" spans="1:13">
      <c r="A17" s="34">
        <f t="shared" si="3"/>
        <v>40234</v>
      </c>
      <c r="B17" s="91">
        <v>6856.09</v>
      </c>
      <c r="C17" s="89">
        <v>21505.06</v>
      </c>
      <c r="D17" s="94">
        <f t="shared" si="0"/>
        <v>38948.67</v>
      </c>
      <c r="E17" s="58">
        <v>437.08</v>
      </c>
      <c r="F17" s="89">
        <f>1882-943.09</f>
        <v>938.91</v>
      </c>
      <c r="G17" s="94">
        <f t="shared" si="1"/>
        <v>2457.2300000000005</v>
      </c>
      <c r="H17" s="58">
        <v>2096.9499999999998</v>
      </c>
      <c r="I17" s="89">
        <f>5217-943.94</f>
        <v>4273.0599999999995</v>
      </c>
      <c r="J17" s="94">
        <f t="shared" si="2"/>
        <v>3864.39</v>
      </c>
      <c r="L17" s="211"/>
      <c r="M17" s="96"/>
    </row>
    <row r="18" spans="1:13">
      <c r="A18" s="34">
        <f t="shared" si="3"/>
        <v>40264</v>
      </c>
      <c r="B18" s="91">
        <v>4867.03</v>
      </c>
      <c r="C18" s="87"/>
      <c r="D18" s="94">
        <f t="shared" si="0"/>
        <v>34081.64</v>
      </c>
      <c r="E18" s="58">
        <v>347.42</v>
      </c>
      <c r="F18" s="87"/>
      <c r="G18" s="94">
        <f t="shared" si="1"/>
        <v>2109.8100000000004</v>
      </c>
      <c r="H18" s="58">
        <v>1545.7</v>
      </c>
      <c r="I18" s="87"/>
      <c r="J18" s="94">
        <f t="shared" si="2"/>
        <v>2318.6899999999996</v>
      </c>
      <c r="L18" s="209"/>
      <c r="M18" s="96"/>
    </row>
    <row r="19" spans="1:13">
      <c r="A19" s="34">
        <f t="shared" si="3"/>
        <v>40294</v>
      </c>
      <c r="B19" s="91">
        <v>2406.2199999999998</v>
      </c>
      <c r="C19" s="87"/>
      <c r="D19" s="94">
        <f t="shared" si="0"/>
        <v>31675.42</v>
      </c>
      <c r="E19" s="58">
        <v>271.47000000000003</v>
      </c>
      <c r="F19" s="87"/>
      <c r="G19" s="94">
        <f t="shared" si="1"/>
        <v>1838.3400000000004</v>
      </c>
      <c r="H19" s="58">
        <v>967.33</v>
      </c>
      <c r="I19" s="87"/>
      <c r="J19" s="94">
        <f t="shared" si="2"/>
        <v>1351.3599999999997</v>
      </c>
      <c r="L19" s="209"/>
      <c r="M19" s="96"/>
    </row>
    <row r="20" spans="1:13">
      <c r="A20" s="34">
        <f t="shared" si="3"/>
        <v>40324</v>
      </c>
      <c r="B20" s="91">
        <v>1556.23</v>
      </c>
      <c r="C20" s="87"/>
      <c r="D20" s="94">
        <f t="shared" si="0"/>
        <v>30119.19</v>
      </c>
      <c r="E20" s="58">
        <v>212.13</v>
      </c>
      <c r="F20" s="87"/>
      <c r="G20" s="94">
        <f t="shared" si="1"/>
        <v>1626.2100000000005</v>
      </c>
      <c r="H20" s="58">
        <v>859.9</v>
      </c>
      <c r="I20" s="87"/>
      <c r="J20" s="94">
        <f t="shared" si="2"/>
        <v>491.4599999999997</v>
      </c>
      <c r="L20" s="209"/>
      <c r="M20" s="96"/>
    </row>
    <row r="21" spans="1:13">
      <c r="A21" s="34">
        <f t="shared" si="3"/>
        <v>40354</v>
      </c>
      <c r="B21" s="91">
        <v>702.69</v>
      </c>
      <c r="C21" s="87"/>
      <c r="D21" s="94">
        <f t="shared" si="0"/>
        <v>29416.5</v>
      </c>
      <c r="E21" s="58">
        <v>199.99</v>
      </c>
      <c r="F21" s="87"/>
      <c r="G21" s="94">
        <f t="shared" si="1"/>
        <v>1426.2200000000005</v>
      </c>
      <c r="H21" s="58">
        <v>888.26</v>
      </c>
      <c r="I21" s="87"/>
      <c r="J21" s="94">
        <f t="shared" si="2"/>
        <v>-396.8000000000003</v>
      </c>
      <c r="L21" s="209"/>
      <c r="M21" s="96"/>
    </row>
    <row r="22" spans="1:13">
      <c r="A22" s="34">
        <f t="shared" si="3"/>
        <v>40384</v>
      </c>
      <c r="B22" s="91">
        <v>598.04999999999995</v>
      </c>
      <c r="C22" s="87"/>
      <c r="D22" s="94">
        <f t="shared" si="0"/>
        <v>28818.45</v>
      </c>
      <c r="E22" s="58">
        <v>124.53</v>
      </c>
      <c r="F22" s="87"/>
      <c r="G22" s="94">
        <f t="shared" si="1"/>
        <v>1301.6900000000005</v>
      </c>
      <c r="H22" s="58">
        <v>641.42999999999995</v>
      </c>
      <c r="I22" s="87"/>
      <c r="J22" s="94">
        <f t="shared" si="2"/>
        <v>-1038.2300000000002</v>
      </c>
      <c r="L22" s="209"/>
      <c r="M22" s="96"/>
    </row>
    <row r="23" spans="1:13">
      <c r="A23" s="34">
        <f t="shared" si="3"/>
        <v>40414</v>
      </c>
      <c r="B23" s="91">
        <v>576.73</v>
      </c>
      <c r="C23" s="89">
        <f>7988.72+3774.07</f>
        <v>11762.79</v>
      </c>
      <c r="D23" s="94">
        <f t="shared" si="0"/>
        <v>40004.51</v>
      </c>
      <c r="E23" s="58">
        <v>116.43</v>
      </c>
      <c r="F23" s="89">
        <f>1882-943.09</f>
        <v>938.91</v>
      </c>
      <c r="G23" s="94">
        <f t="shared" si="1"/>
        <v>2124.1700000000005</v>
      </c>
      <c r="H23" s="58">
        <v>855.08</v>
      </c>
      <c r="I23" s="89">
        <f>5217-943.95</f>
        <v>4273.05</v>
      </c>
      <c r="J23" s="94">
        <f t="shared" si="2"/>
        <v>2379.7399999999998</v>
      </c>
      <c r="L23" s="212">
        <f>C17+F17+I17+C23+F23+I23</f>
        <v>43691.780000000006</v>
      </c>
      <c r="M23" s="97" t="s">
        <v>108</v>
      </c>
    </row>
    <row r="24" spans="1:13">
      <c r="A24" s="34">
        <f t="shared" si="3"/>
        <v>40444</v>
      </c>
      <c r="B24" s="91">
        <v>697.18</v>
      </c>
      <c r="C24" s="80"/>
      <c r="D24" s="94">
        <f t="shared" si="0"/>
        <v>39307.33</v>
      </c>
      <c r="E24" s="58">
        <v>170.87</v>
      </c>
      <c r="F24" s="80"/>
      <c r="G24" s="94">
        <f t="shared" si="1"/>
        <v>1953.3000000000006</v>
      </c>
      <c r="H24" s="58">
        <v>845.21</v>
      </c>
      <c r="I24" s="80"/>
      <c r="J24" s="94">
        <f t="shared" si="2"/>
        <v>1534.5299999999997</v>
      </c>
      <c r="L24" s="209"/>
      <c r="M24" s="96"/>
    </row>
    <row r="25" spans="1:13">
      <c r="A25" s="34">
        <f t="shared" si="3"/>
        <v>40474</v>
      </c>
      <c r="B25" s="91">
        <v>1724.3</v>
      </c>
      <c r="C25" s="80"/>
      <c r="D25" s="94">
        <f t="shared" si="0"/>
        <v>37583.03</v>
      </c>
      <c r="E25" s="58">
        <v>218.99</v>
      </c>
      <c r="F25" s="80"/>
      <c r="G25" s="94">
        <f t="shared" si="1"/>
        <v>1734.3100000000006</v>
      </c>
      <c r="H25" s="58">
        <v>954.86</v>
      </c>
      <c r="I25" s="80"/>
      <c r="J25" s="94">
        <f t="shared" si="2"/>
        <v>579.66999999999973</v>
      </c>
      <c r="L25" s="209"/>
      <c r="M25" s="96"/>
    </row>
    <row r="26" spans="1:13">
      <c r="A26" s="34">
        <f t="shared" si="3"/>
        <v>40504</v>
      </c>
      <c r="B26" s="91">
        <v>3487.95</v>
      </c>
      <c r="C26" s="80"/>
      <c r="D26" s="94">
        <f t="shared" si="0"/>
        <v>34095.08</v>
      </c>
      <c r="E26" s="58">
        <v>266.62</v>
      </c>
      <c r="F26" s="80"/>
      <c r="G26" s="94">
        <f t="shared" si="1"/>
        <v>1467.6900000000005</v>
      </c>
      <c r="H26" s="58">
        <v>1216.3800000000001</v>
      </c>
      <c r="I26" s="80"/>
      <c r="J26" s="94">
        <f t="shared" si="2"/>
        <v>-636.71000000000038</v>
      </c>
      <c r="L26" s="209"/>
      <c r="M26" s="96"/>
    </row>
    <row r="27" spans="1:13">
      <c r="A27" s="34">
        <f t="shared" si="3"/>
        <v>40534</v>
      </c>
      <c r="B27" s="91">
        <v>6497.34</v>
      </c>
      <c r="C27" s="80"/>
      <c r="D27" s="94">
        <f t="shared" si="0"/>
        <v>27597.74</v>
      </c>
      <c r="E27" s="58">
        <v>346.42</v>
      </c>
      <c r="F27" s="80"/>
      <c r="G27" s="94">
        <f t="shared" si="1"/>
        <v>1121.2700000000004</v>
      </c>
      <c r="H27" s="58">
        <v>2097.61</v>
      </c>
      <c r="I27" s="80"/>
      <c r="J27" s="94">
        <f t="shared" si="2"/>
        <v>-2734.3200000000006</v>
      </c>
      <c r="L27" s="209"/>
      <c r="M27" s="96"/>
    </row>
    <row r="28" spans="1:13">
      <c r="A28" s="34">
        <f t="shared" si="3"/>
        <v>40564</v>
      </c>
      <c r="B28" s="91">
        <v>7173.92</v>
      </c>
      <c r="C28" s="80"/>
      <c r="D28" s="94">
        <f t="shared" si="0"/>
        <v>20423.82</v>
      </c>
      <c r="E28" s="58">
        <v>512.69000000000005</v>
      </c>
      <c r="F28" s="80"/>
      <c r="G28" s="94">
        <f t="shared" si="1"/>
        <v>608.58000000000038</v>
      </c>
      <c r="H28" s="58">
        <v>2362.7199999999998</v>
      </c>
      <c r="I28" s="80"/>
      <c r="J28" s="94">
        <f t="shared" si="2"/>
        <v>-5097.0400000000009</v>
      </c>
      <c r="L28" s="209"/>
      <c r="M28" s="96"/>
    </row>
    <row r="29" spans="1:13">
      <c r="A29" s="34">
        <f t="shared" si="3"/>
        <v>40594</v>
      </c>
      <c r="B29" s="91">
        <v>7100.5</v>
      </c>
      <c r="C29" s="117">
        <v>12843.92</v>
      </c>
      <c r="D29" s="94">
        <f t="shared" si="0"/>
        <v>26167.239999999998</v>
      </c>
      <c r="E29" s="58">
        <v>470.88</v>
      </c>
      <c r="F29" s="117">
        <f>3000-2465.73</f>
        <v>534.27</v>
      </c>
      <c r="G29" s="94">
        <f t="shared" si="1"/>
        <v>671.97000000000037</v>
      </c>
      <c r="H29" s="58">
        <v>2198</v>
      </c>
      <c r="I29" s="117">
        <f>6000-1409.37</f>
        <v>4590.63</v>
      </c>
      <c r="J29" s="94">
        <f t="shared" si="2"/>
        <v>-2704.4100000000008</v>
      </c>
      <c r="L29" s="211"/>
      <c r="M29" s="96"/>
    </row>
    <row r="30" spans="1:13">
      <c r="A30" s="34">
        <f t="shared" si="3"/>
        <v>40624</v>
      </c>
      <c r="B30" s="91">
        <v>5585.08</v>
      </c>
      <c r="C30" s="87"/>
      <c r="D30" s="94">
        <f t="shared" si="0"/>
        <v>20582.159999999996</v>
      </c>
      <c r="E30" s="58">
        <v>368.94</v>
      </c>
      <c r="F30" s="87"/>
      <c r="G30" s="94">
        <f t="shared" si="1"/>
        <v>303.03000000000037</v>
      </c>
      <c r="H30" s="58">
        <v>1859.61</v>
      </c>
      <c r="I30" s="87"/>
      <c r="J30" s="94">
        <f t="shared" si="2"/>
        <v>-4564.0200000000004</v>
      </c>
      <c r="L30" s="209"/>
    </row>
    <row r="31" spans="1:13">
      <c r="A31" s="34">
        <f t="shared" si="3"/>
        <v>40654</v>
      </c>
      <c r="B31" s="91">
        <v>3900.95</v>
      </c>
      <c r="C31" s="87"/>
      <c r="D31" s="94">
        <f t="shared" si="0"/>
        <v>16681.209999999995</v>
      </c>
      <c r="E31" s="58">
        <v>366.06</v>
      </c>
      <c r="F31" s="87"/>
      <c r="G31" s="94">
        <f t="shared" si="1"/>
        <v>-63.029999999999632</v>
      </c>
      <c r="H31" s="58">
        <v>1141.07</v>
      </c>
      <c r="I31" s="87"/>
      <c r="J31" s="94">
        <f t="shared" si="2"/>
        <v>-5705.09</v>
      </c>
      <c r="L31" s="209"/>
    </row>
    <row r="32" spans="1:13">
      <c r="A32" s="34">
        <f t="shared" si="3"/>
        <v>40684</v>
      </c>
      <c r="B32" s="91">
        <v>4581.6400000000003</v>
      </c>
      <c r="C32" s="87"/>
      <c r="D32" s="94">
        <f t="shared" si="0"/>
        <v>12099.569999999996</v>
      </c>
      <c r="E32" s="58">
        <v>250.53</v>
      </c>
      <c r="F32" s="87"/>
      <c r="G32" s="94">
        <f t="shared" si="1"/>
        <v>-313.5599999999996</v>
      </c>
      <c r="H32" s="58">
        <v>960.37</v>
      </c>
      <c r="I32" s="87"/>
      <c r="J32" s="94">
        <f t="shared" si="2"/>
        <v>-6665.46</v>
      </c>
      <c r="L32" s="209"/>
    </row>
    <row r="33" spans="1:13">
      <c r="A33" s="34">
        <f t="shared" si="3"/>
        <v>40714</v>
      </c>
      <c r="B33" s="91">
        <v>-2589.4</v>
      </c>
      <c r="C33" s="87"/>
      <c r="D33" s="94">
        <f t="shared" si="0"/>
        <v>14688.969999999996</v>
      </c>
      <c r="E33" s="58">
        <v>230.89</v>
      </c>
      <c r="F33" s="87"/>
      <c r="G33" s="94">
        <f t="shared" si="1"/>
        <v>-544.44999999999959</v>
      </c>
      <c r="H33" s="58">
        <v>903.45</v>
      </c>
      <c r="I33" s="87"/>
      <c r="J33" s="94">
        <f t="shared" si="2"/>
        <v>-7568.91</v>
      </c>
      <c r="L33" s="209"/>
    </row>
    <row r="34" spans="1:13">
      <c r="A34" s="34">
        <f t="shared" si="3"/>
        <v>40744</v>
      </c>
      <c r="B34" s="91">
        <v>498.99</v>
      </c>
      <c r="C34" s="87"/>
      <c r="D34" s="94">
        <f t="shared" si="0"/>
        <v>14189.979999999996</v>
      </c>
      <c r="E34" s="58">
        <v>149.30000000000001</v>
      </c>
      <c r="F34" s="87"/>
      <c r="G34" s="94">
        <f t="shared" si="1"/>
        <v>-693.74999999999955</v>
      </c>
      <c r="H34" s="58">
        <v>799.58</v>
      </c>
      <c r="I34" s="87"/>
      <c r="J34" s="94">
        <f t="shared" si="2"/>
        <v>-8368.49</v>
      </c>
      <c r="L34" s="209"/>
    </row>
    <row r="35" spans="1:13">
      <c r="A35" s="34">
        <f t="shared" si="3"/>
        <v>40774</v>
      </c>
      <c r="B35" s="91">
        <v>566.36</v>
      </c>
      <c r="C35" s="87"/>
      <c r="D35" s="94">
        <f t="shared" si="0"/>
        <v>13623.619999999995</v>
      </c>
      <c r="E35" s="58">
        <v>214.05</v>
      </c>
      <c r="F35" s="87"/>
      <c r="G35" s="94">
        <f t="shared" si="1"/>
        <v>-907.7999999999995</v>
      </c>
      <c r="H35" s="58">
        <v>1012.23</v>
      </c>
      <c r="I35" s="87"/>
      <c r="J35" s="94">
        <f t="shared" si="2"/>
        <v>-9380.7199999999993</v>
      </c>
      <c r="L35" s="209"/>
    </row>
    <row r="36" spans="1:13">
      <c r="A36" s="34">
        <f t="shared" si="3"/>
        <v>40804</v>
      </c>
      <c r="B36" s="91">
        <v>744.47</v>
      </c>
      <c r="C36" s="117">
        <f>3041.59+8750.21</f>
        <v>11791.8</v>
      </c>
      <c r="D36" s="94">
        <f t="shared" si="0"/>
        <v>24670.949999999997</v>
      </c>
      <c r="E36" s="58">
        <v>261.98</v>
      </c>
      <c r="F36" s="117">
        <f>3355.19-2465.73</f>
        <v>889.46</v>
      </c>
      <c r="G36" s="94">
        <f t="shared" si="1"/>
        <v>-280.31999999999948</v>
      </c>
      <c r="H36" s="58">
        <v>844.42</v>
      </c>
      <c r="I36" s="117">
        <f>6000-1409.37</f>
        <v>4590.63</v>
      </c>
      <c r="J36" s="94">
        <f t="shared" si="2"/>
        <v>-5634.5099999999993</v>
      </c>
      <c r="L36" s="213">
        <f>C29+F29+I29+C36+F36+I36</f>
        <v>35240.71</v>
      </c>
      <c r="M36" s="116" t="s">
        <v>114</v>
      </c>
    </row>
    <row r="37" spans="1:13">
      <c r="A37" s="34">
        <f t="shared" si="3"/>
        <v>40834</v>
      </c>
      <c r="B37" s="91">
        <v>1635.32</v>
      </c>
      <c r="C37" s="80"/>
      <c r="D37" s="94">
        <f t="shared" si="0"/>
        <v>23035.629999999997</v>
      </c>
      <c r="E37" s="58">
        <v>319.27999999999997</v>
      </c>
      <c r="F37" s="80"/>
      <c r="G37" s="94">
        <f t="shared" si="1"/>
        <v>-599.59999999999945</v>
      </c>
      <c r="H37" s="58">
        <v>947.31</v>
      </c>
      <c r="I37" s="80"/>
      <c r="J37" s="94">
        <f t="shared" si="2"/>
        <v>-6581.82</v>
      </c>
      <c r="L37" s="209"/>
    </row>
    <row r="38" spans="1:13">
      <c r="A38" s="34">
        <f t="shared" si="3"/>
        <v>40864</v>
      </c>
      <c r="B38" s="91">
        <v>3625.23</v>
      </c>
      <c r="C38" s="80"/>
      <c r="D38" s="94">
        <f t="shared" si="0"/>
        <v>19410.399999999998</v>
      </c>
      <c r="E38" s="58">
        <v>435.14</v>
      </c>
      <c r="F38" s="80"/>
      <c r="G38" s="94">
        <f t="shared" si="1"/>
        <v>-1034.7399999999993</v>
      </c>
      <c r="H38" s="58">
        <v>1206.8499999999999</v>
      </c>
      <c r="I38" s="80"/>
      <c r="J38" s="94">
        <f t="shared" si="2"/>
        <v>-7788.67</v>
      </c>
      <c r="L38" s="209"/>
    </row>
    <row r="39" spans="1:13">
      <c r="A39" s="34">
        <f t="shared" si="3"/>
        <v>40894</v>
      </c>
      <c r="B39" s="91">
        <v>4708.2299999999996</v>
      </c>
      <c r="C39" s="80"/>
      <c r="D39" s="94">
        <f t="shared" si="0"/>
        <v>14702.169999999998</v>
      </c>
      <c r="E39" s="58">
        <v>358.38</v>
      </c>
      <c r="F39" s="80"/>
      <c r="G39" s="94">
        <f t="shared" si="1"/>
        <v>-1393.1199999999994</v>
      </c>
      <c r="H39" s="58">
        <v>1471.02</v>
      </c>
      <c r="I39" s="80"/>
      <c r="J39" s="94">
        <f t="shared" si="2"/>
        <v>-9259.69</v>
      </c>
      <c r="L39" s="209"/>
    </row>
    <row r="40" spans="1:13">
      <c r="A40" s="34">
        <f t="shared" si="3"/>
        <v>40924</v>
      </c>
      <c r="B40" s="91">
        <v>5903.2</v>
      </c>
      <c r="C40" s="80"/>
      <c r="D40" s="94">
        <f t="shared" si="0"/>
        <v>8798.9699999999975</v>
      </c>
      <c r="E40" s="58">
        <v>411.58</v>
      </c>
      <c r="F40" s="80"/>
      <c r="G40" s="94">
        <f t="shared" si="1"/>
        <v>-1804.6999999999994</v>
      </c>
      <c r="H40" s="58">
        <v>2239.37</v>
      </c>
      <c r="I40" s="80"/>
      <c r="J40" s="94">
        <f t="shared" si="2"/>
        <v>-11499.060000000001</v>
      </c>
      <c r="L40" s="209"/>
    </row>
    <row r="41" spans="1:13">
      <c r="A41" s="34">
        <f t="shared" si="3"/>
        <v>40954</v>
      </c>
      <c r="B41" s="91">
        <v>5581.37</v>
      </c>
      <c r="C41" s="80"/>
      <c r="D41" s="94">
        <f t="shared" si="0"/>
        <v>3217.5999999999976</v>
      </c>
      <c r="E41" s="58">
        <v>391.1</v>
      </c>
      <c r="F41" s="80"/>
      <c r="G41" s="94">
        <f t="shared" si="1"/>
        <v>-2195.7999999999993</v>
      </c>
      <c r="H41" s="58">
        <v>2064.17</v>
      </c>
      <c r="I41" s="80"/>
      <c r="J41" s="94">
        <f t="shared" si="2"/>
        <v>-13563.230000000001</v>
      </c>
      <c r="L41" s="209"/>
    </row>
    <row r="42" spans="1:13">
      <c r="A42" s="34">
        <f t="shared" si="3"/>
        <v>40984</v>
      </c>
      <c r="B42" s="91">
        <v>3615.63</v>
      </c>
      <c r="C42" s="118">
        <v>11782.65</v>
      </c>
      <c r="D42" s="94">
        <f t="shared" si="0"/>
        <v>11384.619999999997</v>
      </c>
      <c r="E42" s="58">
        <v>372.68</v>
      </c>
      <c r="F42" s="118">
        <v>1005.33</v>
      </c>
      <c r="G42" s="94">
        <f t="shared" si="1"/>
        <v>-1563.1499999999992</v>
      </c>
      <c r="H42" s="58">
        <v>1594</v>
      </c>
      <c r="I42" s="118">
        <f>4831.81-1036.14</f>
        <v>3795.67</v>
      </c>
      <c r="J42" s="94">
        <f t="shared" si="2"/>
        <v>-11361.560000000001</v>
      </c>
      <c r="L42" s="209"/>
    </row>
    <row r="43" spans="1:13">
      <c r="A43" s="34">
        <f t="shared" si="3"/>
        <v>41014</v>
      </c>
      <c r="B43" s="91">
        <v>2811.98</v>
      </c>
      <c r="C43" s="87"/>
      <c r="D43" s="94">
        <f t="shared" si="0"/>
        <v>8572.6399999999976</v>
      </c>
      <c r="E43" s="58">
        <v>275.45</v>
      </c>
      <c r="F43" s="87"/>
      <c r="G43" s="94">
        <f t="shared" si="1"/>
        <v>-1838.5999999999992</v>
      </c>
      <c r="H43" s="58">
        <v>1335.8</v>
      </c>
      <c r="I43" s="87"/>
      <c r="J43" s="94">
        <f t="shared" si="2"/>
        <v>-12697.36</v>
      </c>
      <c r="L43" s="209"/>
    </row>
    <row r="44" spans="1:13">
      <c r="A44" s="34">
        <f t="shared" si="3"/>
        <v>41044</v>
      </c>
      <c r="B44" s="91">
        <v>1485.06</v>
      </c>
      <c r="C44" s="87"/>
      <c r="D44" s="94">
        <f t="shared" si="0"/>
        <v>7087.5799999999981</v>
      </c>
      <c r="E44" s="58">
        <v>279.10000000000002</v>
      </c>
      <c r="F44" s="87"/>
      <c r="G44" s="94">
        <f t="shared" si="1"/>
        <v>-2117.6999999999994</v>
      </c>
      <c r="H44" s="58">
        <v>1100.98</v>
      </c>
      <c r="I44" s="87"/>
      <c r="J44" s="94">
        <f t="shared" si="2"/>
        <v>-13798.34</v>
      </c>
      <c r="L44" s="209"/>
    </row>
    <row r="45" spans="1:13">
      <c r="A45" s="34">
        <f t="shared" si="3"/>
        <v>41074</v>
      </c>
      <c r="B45" s="91">
        <v>737.62</v>
      </c>
      <c r="C45" s="87"/>
      <c r="D45" s="94">
        <f t="shared" si="0"/>
        <v>6349.9599999999982</v>
      </c>
      <c r="E45" s="58">
        <v>245.82</v>
      </c>
      <c r="F45" s="87"/>
      <c r="G45" s="94">
        <f t="shared" si="1"/>
        <v>-2363.5199999999995</v>
      </c>
      <c r="H45" s="58">
        <v>954.99</v>
      </c>
      <c r="I45" s="87"/>
      <c r="J45" s="94">
        <f t="shared" si="2"/>
        <v>-14753.33</v>
      </c>
      <c r="L45" s="209"/>
    </row>
    <row r="46" spans="1:13">
      <c r="A46" s="34">
        <f t="shared" si="3"/>
        <v>41104</v>
      </c>
      <c r="B46" s="91">
        <v>507.72</v>
      </c>
      <c r="C46" s="87"/>
      <c r="D46" s="94">
        <f t="shared" si="0"/>
        <v>5842.239999999998</v>
      </c>
      <c r="E46" s="58">
        <v>205.27</v>
      </c>
      <c r="F46" s="87"/>
      <c r="G46" s="94">
        <f t="shared" si="1"/>
        <v>-2568.7899999999995</v>
      </c>
      <c r="H46" s="58">
        <v>962.91</v>
      </c>
      <c r="I46" s="87"/>
      <c r="J46" s="94">
        <f t="shared" si="2"/>
        <v>-15716.24</v>
      </c>
      <c r="L46" s="209"/>
    </row>
    <row r="47" spans="1:13">
      <c r="A47" s="34">
        <f t="shared" si="3"/>
        <v>41134</v>
      </c>
      <c r="B47" s="91">
        <v>549.04</v>
      </c>
      <c r="C47" s="118">
        <f>3288.24+8814.18</f>
        <v>12102.42</v>
      </c>
      <c r="D47" s="94">
        <f t="shared" si="0"/>
        <v>17395.62</v>
      </c>
      <c r="E47" s="58">
        <v>206.39</v>
      </c>
      <c r="F47" s="118">
        <f>7290.8-6714.13</f>
        <v>576.67000000000007</v>
      </c>
      <c r="G47" s="94">
        <f t="shared" si="1"/>
        <v>-2198.5099999999993</v>
      </c>
      <c r="H47" s="58">
        <v>796.95</v>
      </c>
      <c r="I47" s="118">
        <f>5191.24-1036.14</f>
        <v>4155.0999999999995</v>
      </c>
      <c r="J47" s="94">
        <f t="shared" si="2"/>
        <v>-12358.09</v>
      </c>
      <c r="L47" s="214">
        <f>C42+F42+I42+C47+F47+I47</f>
        <v>33417.839999999997</v>
      </c>
      <c r="M47" s="119" t="s">
        <v>115</v>
      </c>
    </row>
    <row r="48" spans="1:13">
      <c r="A48" s="34">
        <f t="shared" si="3"/>
        <v>41164</v>
      </c>
      <c r="B48" s="91">
        <v>694.98</v>
      </c>
      <c r="C48" s="80"/>
      <c r="D48" s="94">
        <f t="shared" si="0"/>
        <v>16700.64</v>
      </c>
      <c r="E48" s="58">
        <v>240.88</v>
      </c>
      <c r="F48" s="80"/>
      <c r="G48" s="94">
        <f t="shared" si="1"/>
        <v>-2439.3899999999994</v>
      </c>
      <c r="H48" s="58">
        <v>722.36</v>
      </c>
      <c r="I48" s="80"/>
      <c r="J48" s="94">
        <f t="shared" si="2"/>
        <v>-13080.45</v>
      </c>
      <c r="L48" s="209"/>
    </row>
    <row r="49" spans="1:13">
      <c r="A49" s="34">
        <f t="shared" si="3"/>
        <v>41194</v>
      </c>
      <c r="B49" s="91">
        <v>1670.91</v>
      </c>
      <c r="C49" s="80"/>
      <c r="D49" s="94">
        <f t="shared" si="0"/>
        <v>15029.73</v>
      </c>
      <c r="E49" s="58">
        <v>290.39</v>
      </c>
      <c r="F49" s="80"/>
      <c r="G49" s="94">
        <f t="shared" si="1"/>
        <v>-2729.7799999999993</v>
      </c>
      <c r="H49" s="58">
        <v>836.71</v>
      </c>
      <c r="I49" s="80"/>
      <c r="J49" s="94">
        <f t="shared" si="2"/>
        <v>-13917.16</v>
      </c>
      <c r="L49" s="209"/>
    </row>
    <row r="50" spans="1:13">
      <c r="A50" s="34">
        <f t="shared" si="3"/>
        <v>41224</v>
      </c>
      <c r="B50" s="91">
        <v>4243.66</v>
      </c>
      <c r="C50" s="80"/>
      <c r="D50" s="94">
        <f t="shared" si="0"/>
        <v>10786.07</v>
      </c>
      <c r="E50" s="58">
        <v>304.01</v>
      </c>
      <c r="F50" s="80"/>
      <c r="G50" s="94">
        <f t="shared" si="1"/>
        <v>-3033.7899999999991</v>
      </c>
      <c r="H50" s="58">
        <v>1560.24</v>
      </c>
      <c r="I50" s="80"/>
      <c r="J50" s="94">
        <f t="shared" si="2"/>
        <v>-15477.4</v>
      </c>
      <c r="L50" s="209"/>
    </row>
    <row r="51" spans="1:13">
      <c r="A51" s="34">
        <f t="shared" si="3"/>
        <v>41254</v>
      </c>
      <c r="B51" s="91">
        <v>5160.97</v>
      </c>
      <c r="C51" s="80"/>
      <c r="D51" s="94">
        <f t="shared" si="0"/>
        <v>5625.0999999999995</v>
      </c>
      <c r="E51" s="58">
        <v>324.83999999999997</v>
      </c>
      <c r="F51" s="80"/>
      <c r="G51" s="94">
        <f t="shared" si="1"/>
        <v>-3358.6299999999992</v>
      </c>
      <c r="H51" s="58">
        <v>1576.88</v>
      </c>
      <c r="I51" s="80"/>
      <c r="J51" s="94">
        <f t="shared" si="2"/>
        <v>-17054.28</v>
      </c>
      <c r="L51" s="209"/>
    </row>
    <row r="52" spans="1:13">
      <c r="A52" s="34">
        <f t="shared" si="3"/>
        <v>41284</v>
      </c>
      <c r="B52" s="91">
        <v>5851.18</v>
      </c>
      <c r="C52" s="80"/>
      <c r="D52" s="94">
        <f t="shared" si="0"/>
        <v>-226.08000000000084</v>
      </c>
      <c r="E52" s="58">
        <v>363.67</v>
      </c>
      <c r="F52" s="80"/>
      <c r="G52" s="94">
        <f t="shared" si="1"/>
        <v>-3722.2999999999993</v>
      </c>
      <c r="H52" s="58">
        <v>2091.42</v>
      </c>
      <c r="I52" s="80"/>
      <c r="J52" s="94">
        <f t="shared" si="2"/>
        <v>-19145.699999999997</v>
      </c>
      <c r="L52" s="209"/>
    </row>
    <row r="53" spans="1:13">
      <c r="A53" s="34">
        <f t="shared" si="3"/>
        <v>41314</v>
      </c>
      <c r="B53" s="91">
        <v>7546.56</v>
      </c>
      <c r="C53" s="80"/>
      <c r="D53" s="94">
        <f t="shared" si="0"/>
        <v>-7772.6400000000012</v>
      </c>
      <c r="E53" s="58">
        <v>420.56</v>
      </c>
      <c r="F53" s="80"/>
      <c r="G53" s="94">
        <f t="shared" si="1"/>
        <v>-4142.8599999999997</v>
      </c>
      <c r="H53" s="58">
        <v>2008.84</v>
      </c>
      <c r="I53" s="80"/>
      <c r="J53" s="94">
        <f t="shared" si="2"/>
        <v>-21154.539999999997</v>
      </c>
      <c r="L53" s="209"/>
    </row>
    <row r="54" spans="1:13">
      <c r="A54" s="34">
        <f t="shared" si="3"/>
        <v>41344</v>
      </c>
      <c r="B54" s="91">
        <v>6109.56</v>
      </c>
      <c r="C54" s="120">
        <v>11929.6</v>
      </c>
      <c r="D54" s="94">
        <f t="shared" si="0"/>
        <v>-1952.6000000000004</v>
      </c>
      <c r="E54" s="58">
        <v>345.13</v>
      </c>
      <c r="F54" s="120">
        <v>790.25</v>
      </c>
      <c r="G54" s="94">
        <f t="shared" si="1"/>
        <v>-3697.74</v>
      </c>
      <c r="H54" s="58">
        <v>1646.26</v>
      </c>
      <c r="I54" s="120">
        <v>3971.04</v>
      </c>
      <c r="J54" s="94">
        <f t="shared" si="2"/>
        <v>-18829.759999999995</v>
      </c>
      <c r="L54" s="209"/>
    </row>
    <row r="55" spans="1:13">
      <c r="A55" s="34">
        <f t="shared" si="3"/>
        <v>41374</v>
      </c>
      <c r="B55" s="91">
        <v>3509.48</v>
      </c>
      <c r="C55" s="87"/>
      <c r="D55" s="94">
        <f t="shared" si="0"/>
        <v>-5462.08</v>
      </c>
      <c r="E55" s="58">
        <v>283.3</v>
      </c>
      <c r="F55" s="87"/>
      <c r="G55" s="94">
        <f t="shared" si="1"/>
        <v>-3981.04</v>
      </c>
      <c r="H55" s="58">
        <v>1173.46</v>
      </c>
      <c r="I55" s="87"/>
      <c r="J55" s="94">
        <f t="shared" si="2"/>
        <v>-20003.219999999994</v>
      </c>
      <c r="L55" s="209"/>
    </row>
    <row r="56" spans="1:13">
      <c r="A56" s="34">
        <f t="shared" si="3"/>
        <v>41404</v>
      </c>
      <c r="B56" s="91">
        <v>1297.93</v>
      </c>
      <c r="C56" s="87"/>
      <c r="D56" s="94">
        <f t="shared" si="0"/>
        <v>-6760.01</v>
      </c>
      <c r="E56" s="58">
        <v>275.83999999999997</v>
      </c>
      <c r="F56" s="87"/>
      <c r="G56" s="94">
        <f t="shared" si="1"/>
        <v>-4256.88</v>
      </c>
      <c r="H56" s="58">
        <v>1149.7</v>
      </c>
      <c r="I56" s="87"/>
      <c r="J56" s="94">
        <f t="shared" si="2"/>
        <v>-21152.919999999995</v>
      </c>
      <c r="L56" s="209"/>
    </row>
    <row r="57" spans="1:13">
      <c r="A57" s="34">
        <f t="shared" si="3"/>
        <v>41434</v>
      </c>
      <c r="B57" s="91">
        <v>938.46</v>
      </c>
      <c r="C57" s="87"/>
      <c r="D57" s="94">
        <f t="shared" si="0"/>
        <v>-7698.47</v>
      </c>
      <c r="E57" s="58">
        <v>263.32</v>
      </c>
      <c r="F57" s="87"/>
      <c r="G57" s="94">
        <f t="shared" si="1"/>
        <v>-4520.2</v>
      </c>
      <c r="H57" s="58">
        <v>889.36</v>
      </c>
      <c r="I57" s="87"/>
      <c r="J57" s="94">
        <f t="shared" si="2"/>
        <v>-22042.279999999995</v>
      </c>
      <c r="L57" s="209"/>
    </row>
    <row r="58" spans="1:13">
      <c r="A58" s="34">
        <f t="shared" si="3"/>
        <v>41464</v>
      </c>
      <c r="B58" s="91">
        <v>550.79</v>
      </c>
      <c r="C58" s="87"/>
      <c r="D58" s="94">
        <f t="shared" si="0"/>
        <v>-8249.26</v>
      </c>
      <c r="E58" s="58">
        <v>243.18</v>
      </c>
      <c r="F58" s="87"/>
      <c r="G58" s="94">
        <f t="shared" si="1"/>
        <v>-4763.38</v>
      </c>
      <c r="H58" s="58">
        <v>803.21</v>
      </c>
      <c r="I58" s="87"/>
      <c r="J58" s="94">
        <f t="shared" si="2"/>
        <v>-22845.489999999994</v>
      </c>
      <c r="L58" s="209"/>
    </row>
    <row r="59" spans="1:13">
      <c r="A59" s="34">
        <f t="shared" si="3"/>
        <v>41494</v>
      </c>
      <c r="B59" s="91">
        <v>594.78</v>
      </c>
      <c r="C59" s="120">
        <v>6446.6</v>
      </c>
      <c r="D59" s="94">
        <f t="shared" si="0"/>
        <v>-2397.4400000000005</v>
      </c>
      <c r="E59" s="58">
        <v>98.76</v>
      </c>
      <c r="F59" s="120">
        <v>339.23</v>
      </c>
      <c r="G59" s="94">
        <f t="shared" si="1"/>
        <v>-4522.91</v>
      </c>
      <c r="H59" s="58">
        <v>775.99</v>
      </c>
      <c r="I59" s="120">
        <v>2367.7399999999998</v>
      </c>
      <c r="J59" s="94">
        <f t="shared" si="2"/>
        <v>-21253.739999999998</v>
      </c>
      <c r="L59" s="215">
        <f>C54+F54+I54+C59+F59+I59</f>
        <v>25844.46</v>
      </c>
      <c r="M59" s="121" t="s">
        <v>118</v>
      </c>
    </row>
    <row r="60" spans="1:13">
      <c r="A60" s="34">
        <f t="shared" si="3"/>
        <v>41524</v>
      </c>
      <c r="B60" s="92">
        <v>719.16</v>
      </c>
      <c r="C60" s="87"/>
      <c r="D60" s="94">
        <f t="shared" si="0"/>
        <v>-3116.6000000000004</v>
      </c>
      <c r="E60" s="73">
        <v>270.20999999999998</v>
      </c>
      <c r="F60" s="87"/>
      <c r="G60" s="94">
        <f t="shared" si="1"/>
        <v>-4793.12</v>
      </c>
      <c r="H60" s="73">
        <v>774.96</v>
      </c>
      <c r="I60" s="87"/>
      <c r="J60" s="94">
        <f t="shared" si="2"/>
        <v>-22028.699999999997</v>
      </c>
      <c r="L60" s="209"/>
    </row>
    <row r="61" spans="1:13">
      <c r="A61" s="34">
        <f t="shared" si="3"/>
        <v>41554</v>
      </c>
      <c r="B61" s="92">
        <v>1320.21</v>
      </c>
      <c r="C61" s="87"/>
      <c r="D61" s="94">
        <f t="shared" si="0"/>
        <v>-4436.8100000000004</v>
      </c>
      <c r="E61" s="73">
        <v>269.08999999999997</v>
      </c>
      <c r="F61" s="87"/>
      <c r="G61" s="94">
        <f t="shared" si="1"/>
        <v>-5062.21</v>
      </c>
      <c r="H61" s="73">
        <v>1216.02</v>
      </c>
      <c r="I61" s="87"/>
      <c r="J61" s="94">
        <f t="shared" si="2"/>
        <v>-23244.719999999998</v>
      </c>
      <c r="L61" s="209"/>
    </row>
    <row r="62" spans="1:13">
      <c r="A62" s="34">
        <f t="shared" si="3"/>
        <v>41584</v>
      </c>
      <c r="B62" s="92">
        <v>4340.1400000000003</v>
      </c>
      <c r="C62" s="87"/>
      <c r="D62" s="94">
        <f t="shared" si="0"/>
        <v>-8776.9500000000007</v>
      </c>
      <c r="E62" s="73">
        <v>368</v>
      </c>
      <c r="F62" s="87"/>
      <c r="G62" s="94">
        <f t="shared" si="1"/>
        <v>-5430.21</v>
      </c>
      <c r="H62" s="73">
        <v>1556.28</v>
      </c>
      <c r="I62" s="87"/>
      <c r="J62" s="94">
        <f t="shared" si="2"/>
        <v>-24800.999999999996</v>
      </c>
      <c r="L62" s="209"/>
    </row>
    <row r="63" spans="1:13">
      <c r="A63" s="34">
        <f t="shared" si="3"/>
        <v>41614</v>
      </c>
      <c r="B63" s="92">
        <v>6368.32</v>
      </c>
      <c r="C63" s="87"/>
      <c r="D63" s="94">
        <f t="shared" si="0"/>
        <v>-15145.27</v>
      </c>
      <c r="E63" s="73">
        <v>406.26</v>
      </c>
      <c r="F63" s="87"/>
      <c r="G63" s="94">
        <f t="shared" si="1"/>
        <v>-5836.47</v>
      </c>
      <c r="H63" s="73">
        <v>1800.86</v>
      </c>
      <c r="I63" s="87"/>
      <c r="J63" s="94">
        <f t="shared" si="2"/>
        <v>-26601.859999999997</v>
      </c>
      <c r="L63" s="209"/>
    </row>
    <row r="64" spans="1:13">
      <c r="A64" s="34">
        <f t="shared" si="3"/>
        <v>41644</v>
      </c>
      <c r="B64" s="92">
        <v>7782.3</v>
      </c>
      <c r="C64" s="87"/>
      <c r="D64" s="94">
        <f t="shared" si="0"/>
        <v>-22927.57</v>
      </c>
      <c r="E64" s="73">
        <v>506.11</v>
      </c>
      <c r="F64" s="87"/>
      <c r="G64" s="94">
        <f t="shared" si="1"/>
        <v>-6342.58</v>
      </c>
      <c r="H64" s="73">
        <v>0</v>
      </c>
      <c r="I64" s="87"/>
      <c r="J64" s="94">
        <f t="shared" si="2"/>
        <v>-26601.859999999997</v>
      </c>
      <c r="L64" s="209"/>
    </row>
    <row r="65" spans="1:13">
      <c r="A65" s="34">
        <f t="shared" si="3"/>
        <v>41674</v>
      </c>
      <c r="B65" s="92">
        <v>9131.3700000000008</v>
      </c>
      <c r="C65" s="87"/>
      <c r="D65" s="94">
        <f t="shared" si="0"/>
        <v>-32058.940000000002</v>
      </c>
      <c r="E65" s="73">
        <v>339.93</v>
      </c>
      <c r="F65" s="87"/>
      <c r="G65" s="94">
        <f t="shared" si="1"/>
        <v>-6682.51</v>
      </c>
      <c r="H65" s="73">
        <v>0</v>
      </c>
      <c r="I65" s="87"/>
      <c r="J65" s="94">
        <f t="shared" si="2"/>
        <v>-26601.859999999997</v>
      </c>
      <c r="L65" s="209"/>
    </row>
    <row r="66" spans="1:13">
      <c r="A66" s="34">
        <f t="shared" si="3"/>
        <v>41704</v>
      </c>
      <c r="B66" s="92">
        <v>7149.16</v>
      </c>
      <c r="C66" s="122">
        <v>9250.33</v>
      </c>
      <c r="D66" s="94">
        <f t="shared" si="0"/>
        <v>-29957.770000000004</v>
      </c>
      <c r="E66" s="73">
        <v>400.23</v>
      </c>
      <c r="F66" s="123">
        <v>568.53</v>
      </c>
      <c r="G66" s="94">
        <f t="shared" si="1"/>
        <v>-6514.21</v>
      </c>
      <c r="H66" s="73">
        <v>0</v>
      </c>
      <c r="I66" s="123">
        <v>3190.9</v>
      </c>
      <c r="J66" s="94">
        <f t="shared" si="2"/>
        <v>-23410.959999999995</v>
      </c>
      <c r="L66" s="216">
        <f>C66+F66+I66</f>
        <v>13009.76</v>
      </c>
      <c r="M66" s="124" t="s">
        <v>120</v>
      </c>
    </row>
    <row r="67" spans="1:13">
      <c r="A67" s="34">
        <f t="shared" si="3"/>
        <v>41734</v>
      </c>
      <c r="B67" s="92">
        <v>3686.15</v>
      </c>
      <c r="C67" s="80"/>
      <c r="D67" s="94">
        <f t="shared" si="0"/>
        <v>-33643.920000000006</v>
      </c>
      <c r="E67" s="73">
        <v>319.2</v>
      </c>
      <c r="F67" s="80"/>
      <c r="G67" s="94">
        <f t="shared" si="1"/>
        <v>-6833.41</v>
      </c>
      <c r="H67" s="73">
        <v>0</v>
      </c>
      <c r="I67" s="80"/>
      <c r="J67" s="94">
        <f t="shared" si="2"/>
        <v>-23410.959999999995</v>
      </c>
      <c r="L67" s="209"/>
    </row>
    <row r="68" spans="1:13">
      <c r="A68" s="34">
        <f t="shared" si="3"/>
        <v>41764</v>
      </c>
      <c r="B68" s="92">
        <v>1675.12</v>
      </c>
      <c r="C68" s="80"/>
      <c r="D68" s="94">
        <f t="shared" si="0"/>
        <v>-35319.040000000008</v>
      </c>
      <c r="E68" s="73">
        <v>298.83</v>
      </c>
      <c r="F68" s="80"/>
      <c r="G68" s="94">
        <f t="shared" si="1"/>
        <v>-7132.24</v>
      </c>
      <c r="H68" s="73">
        <v>0</v>
      </c>
      <c r="I68" s="80"/>
      <c r="J68" s="94">
        <f t="shared" si="2"/>
        <v>-23410.959999999995</v>
      </c>
      <c r="L68" s="211"/>
    </row>
    <row r="69" spans="1:13">
      <c r="A69" s="34">
        <f t="shared" si="3"/>
        <v>41794</v>
      </c>
      <c r="B69" s="92">
        <f>'TSA $ Collected'!B73</f>
        <v>938.46</v>
      </c>
      <c r="C69" s="80"/>
      <c r="D69" s="94">
        <f t="shared" si="0"/>
        <v>-36257.500000000007</v>
      </c>
      <c r="E69" s="73">
        <f>'TSA $ Collected'!C73</f>
        <v>263.32</v>
      </c>
      <c r="F69" s="80"/>
      <c r="G69" s="94">
        <f t="shared" si="1"/>
        <v>-7395.5599999999995</v>
      </c>
      <c r="H69" s="73">
        <v>0</v>
      </c>
      <c r="I69" s="80"/>
      <c r="J69" s="94">
        <f t="shared" si="2"/>
        <v>-23410.959999999995</v>
      </c>
      <c r="L69" s="209"/>
    </row>
    <row r="70" spans="1:13">
      <c r="A70" s="34"/>
    </row>
    <row r="71" spans="1:13">
      <c r="A71" t="s">
        <v>53</v>
      </c>
      <c r="B71" s="80">
        <f>SUM(B7:B69)</f>
        <v>188252.22999999998</v>
      </c>
      <c r="C71" s="80"/>
      <c r="E71" s="80">
        <f>SUM(E7:E69)</f>
        <v>17742.12</v>
      </c>
      <c r="F71" s="80"/>
      <c r="H71" s="80">
        <f>SUM(H7:H69)</f>
        <v>69052.779999999984</v>
      </c>
      <c r="I71" s="80"/>
      <c r="L71" s="80">
        <f>SUM(L7:L69)</f>
        <v>207983.11</v>
      </c>
    </row>
  </sheetData>
  <pageMargins left="0" right="0" top="0.75" bottom="0" header="0.3" footer="0.3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T30"/>
  <sheetViews>
    <sheetView workbookViewId="0">
      <selection activeCell="O40" sqref="O40"/>
    </sheetView>
  </sheetViews>
  <sheetFormatPr defaultRowHeight="15"/>
  <cols>
    <col min="1" max="1" width="8.42578125" customWidth="1"/>
    <col min="2" max="2" width="8.5703125" customWidth="1"/>
    <col min="3" max="3" width="11" customWidth="1"/>
    <col min="4" max="4" width="13" customWidth="1"/>
    <col min="5" max="5" width="1.7109375" customWidth="1"/>
    <col min="6" max="6" width="11.7109375" bestFit="1" customWidth="1"/>
    <col min="7" max="7" width="3.42578125" customWidth="1"/>
    <col min="8" max="8" width="8.85546875" customWidth="1"/>
    <col min="9" max="9" width="8" customWidth="1"/>
    <col min="10" max="10" width="11.140625" customWidth="1"/>
    <col min="11" max="11" width="12" customWidth="1"/>
    <col min="12" max="12" width="1.7109375" customWidth="1"/>
    <col min="14" max="14" width="3.5703125" customWidth="1"/>
    <col min="16" max="16" width="7.5703125" customWidth="1"/>
    <col min="19" max="19" width="1.7109375" customWidth="1"/>
  </cols>
  <sheetData>
    <row r="1" spans="1:20" s="75" customFormat="1">
      <c r="P1" s="22" t="s">
        <v>147</v>
      </c>
    </row>
    <row r="2" spans="1:20" s="75" customFormat="1"/>
    <row r="3" spans="1:20">
      <c r="A3" s="170" t="s">
        <v>142</v>
      </c>
      <c r="B3" s="171"/>
      <c r="C3" s="171"/>
      <c r="D3" s="172"/>
      <c r="E3" s="172"/>
      <c r="F3" s="173"/>
      <c r="G3" s="202"/>
      <c r="H3" s="170" t="s">
        <v>143</v>
      </c>
      <c r="I3" s="171"/>
      <c r="J3" s="171"/>
      <c r="K3" s="172"/>
      <c r="L3" s="172"/>
      <c r="M3" s="173"/>
      <c r="N3" s="203"/>
      <c r="O3" s="170" t="s">
        <v>143</v>
      </c>
      <c r="P3" s="171"/>
      <c r="Q3" s="171"/>
      <c r="R3" s="172"/>
      <c r="S3" s="172"/>
      <c r="T3" s="173"/>
    </row>
    <row r="4" spans="1:20">
      <c r="A4" s="140"/>
      <c r="B4" s="141"/>
      <c r="C4" s="141"/>
      <c r="D4" s="141"/>
      <c r="E4" s="141"/>
      <c r="F4" s="142"/>
      <c r="G4" s="137"/>
      <c r="H4" s="174"/>
      <c r="I4" s="175"/>
      <c r="J4" s="175"/>
      <c r="K4" s="175"/>
      <c r="L4" s="175"/>
      <c r="M4" s="176"/>
      <c r="O4" s="174"/>
      <c r="P4" s="175"/>
      <c r="Q4" s="175"/>
      <c r="R4" s="175"/>
      <c r="S4" s="175"/>
      <c r="T4" s="176"/>
    </row>
    <row r="5" spans="1:20">
      <c r="A5" s="140"/>
      <c r="B5" s="143" t="s">
        <v>130</v>
      </c>
      <c r="C5" s="143" t="s">
        <v>131</v>
      </c>
      <c r="D5" s="143" t="s">
        <v>134</v>
      </c>
      <c r="E5" s="143"/>
      <c r="F5" s="144" t="s">
        <v>135</v>
      </c>
      <c r="G5" s="137"/>
      <c r="H5" s="174"/>
      <c r="I5" s="177" t="s">
        <v>130</v>
      </c>
      <c r="J5" s="177" t="s">
        <v>131</v>
      </c>
      <c r="K5" s="177" t="s">
        <v>134</v>
      </c>
      <c r="L5" s="177"/>
      <c r="M5" s="178" t="s">
        <v>135</v>
      </c>
      <c r="O5" s="174"/>
      <c r="P5" s="177" t="s">
        <v>130</v>
      </c>
      <c r="Q5" s="177" t="s">
        <v>131</v>
      </c>
      <c r="R5" s="177" t="s">
        <v>134</v>
      </c>
      <c r="S5" s="177"/>
      <c r="T5" s="178" t="s">
        <v>135</v>
      </c>
    </row>
    <row r="6" spans="1:20">
      <c r="A6" s="145"/>
      <c r="B6" s="146" t="s">
        <v>136</v>
      </c>
      <c r="C6" s="146" t="s">
        <v>20</v>
      </c>
      <c r="D6" s="146" t="s">
        <v>137</v>
      </c>
      <c r="E6" s="146"/>
      <c r="F6" s="147"/>
      <c r="G6" s="137"/>
      <c r="H6" s="179"/>
      <c r="I6" s="180" t="s">
        <v>136</v>
      </c>
      <c r="J6" s="180" t="s">
        <v>20</v>
      </c>
      <c r="K6" s="180" t="s">
        <v>137</v>
      </c>
      <c r="L6" s="180"/>
      <c r="M6" s="181"/>
      <c r="O6" s="179"/>
      <c r="P6" s="180" t="s">
        <v>136</v>
      </c>
      <c r="Q6" s="180" t="s">
        <v>20</v>
      </c>
      <c r="R6" s="180" t="s">
        <v>137</v>
      </c>
      <c r="S6" s="180"/>
      <c r="T6" s="181"/>
    </row>
    <row r="7" spans="1:20">
      <c r="A7" s="148" t="s">
        <v>19</v>
      </c>
      <c r="B7" s="149" t="s">
        <v>133</v>
      </c>
      <c r="C7" s="149" t="s">
        <v>138</v>
      </c>
      <c r="D7" s="149" t="s">
        <v>139</v>
      </c>
      <c r="E7" s="149"/>
      <c r="F7" s="150" t="s">
        <v>64</v>
      </c>
      <c r="G7" s="137"/>
      <c r="H7" s="182" t="s">
        <v>19</v>
      </c>
      <c r="I7" s="183" t="s">
        <v>133</v>
      </c>
      <c r="J7" s="183" t="s">
        <v>138</v>
      </c>
      <c r="K7" s="183" t="s">
        <v>139</v>
      </c>
      <c r="L7" s="183"/>
      <c r="M7" s="184" t="s">
        <v>64</v>
      </c>
      <c r="O7" s="182" t="s">
        <v>19</v>
      </c>
      <c r="P7" s="183" t="s">
        <v>133</v>
      </c>
      <c r="Q7" s="183" t="s">
        <v>138</v>
      </c>
      <c r="R7" s="183" t="s">
        <v>139</v>
      </c>
      <c r="S7" s="183"/>
      <c r="T7" s="184" t="s">
        <v>64</v>
      </c>
    </row>
    <row r="8" spans="1:20">
      <c r="A8" s="140"/>
      <c r="B8" s="141"/>
      <c r="C8" s="141"/>
      <c r="D8" s="141"/>
      <c r="E8" s="141"/>
      <c r="F8" s="142"/>
      <c r="G8" s="137"/>
      <c r="H8" s="174"/>
      <c r="I8" s="175"/>
      <c r="J8" s="175"/>
      <c r="K8" s="175"/>
      <c r="L8" s="175"/>
      <c r="M8" s="176"/>
      <c r="O8" s="174"/>
      <c r="P8" s="175"/>
      <c r="Q8" s="175"/>
      <c r="R8" s="175"/>
      <c r="S8" s="175"/>
      <c r="T8" s="176"/>
    </row>
    <row r="9" spans="1:20">
      <c r="A9" s="140"/>
      <c r="B9" s="141"/>
      <c r="C9" s="141"/>
      <c r="D9" s="141"/>
      <c r="E9" s="141"/>
      <c r="F9" s="142"/>
      <c r="G9" s="137"/>
      <c r="H9" s="174"/>
      <c r="I9" s="175"/>
      <c r="J9" s="175"/>
      <c r="K9" s="175"/>
      <c r="L9" s="175"/>
      <c r="M9" s="176"/>
      <c r="O9" s="174"/>
      <c r="P9" s="175"/>
      <c r="Q9" s="175"/>
      <c r="R9" s="175"/>
      <c r="S9" s="175"/>
      <c r="T9" s="176"/>
    </row>
    <row r="10" spans="1:20">
      <c r="A10" s="151">
        <v>41821</v>
      </c>
      <c r="B10" s="141" t="s">
        <v>140</v>
      </c>
      <c r="C10" s="141"/>
      <c r="D10" s="141"/>
      <c r="E10" s="152"/>
      <c r="F10" s="153">
        <f>-'JULY 1 2014 TSA RATE'!J9</f>
        <v>15727.47782161535</v>
      </c>
      <c r="G10" s="137"/>
      <c r="H10" s="185">
        <v>41821</v>
      </c>
      <c r="I10" s="175" t="s">
        <v>140</v>
      </c>
      <c r="J10" s="175"/>
      <c r="K10" s="175"/>
      <c r="L10" s="186"/>
      <c r="M10" s="187">
        <f>-'JULY 1 2014 TSA RATE'!J10</f>
        <v>6239.6031451750296</v>
      </c>
      <c r="O10" s="185">
        <v>41821</v>
      </c>
      <c r="P10" s="175" t="s">
        <v>140</v>
      </c>
      <c r="Q10" s="175"/>
      <c r="R10" s="175"/>
      <c r="S10" s="186"/>
      <c r="T10" s="187">
        <f>-'JULY 1 2014 TSA RATE'!J11</f>
        <v>16809.113433209619</v>
      </c>
    </row>
    <row r="11" spans="1:20">
      <c r="A11" s="140"/>
      <c r="B11" s="141"/>
      <c r="C11" s="141"/>
      <c r="D11" s="141"/>
      <c r="E11" s="152"/>
      <c r="F11" s="153"/>
      <c r="G11" s="137"/>
      <c r="H11" s="174"/>
      <c r="I11" s="175"/>
      <c r="J11" s="175"/>
      <c r="K11" s="175"/>
      <c r="L11" s="186"/>
      <c r="M11" s="187"/>
      <c r="O11" s="174"/>
      <c r="P11" s="175"/>
      <c r="Q11" s="175"/>
      <c r="R11" s="175"/>
      <c r="S11" s="186"/>
      <c r="T11" s="187"/>
    </row>
    <row r="12" spans="1:20">
      <c r="A12" s="140" t="s">
        <v>141</v>
      </c>
      <c r="B12" s="154"/>
      <c r="C12" s="155"/>
      <c r="D12" s="152"/>
      <c r="E12" s="152"/>
      <c r="F12" s="156"/>
      <c r="G12" s="137"/>
      <c r="H12" s="174" t="s">
        <v>141</v>
      </c>
      <c r="I12" s="188"/>
      <c r="J12" s="189"/>
      <c r="K12" s="186"/>
      <c r="L12" s="186"/>
      <c r="M12" s="190"/>
      <c r="O12" s="174" t="s">
        <v>141</v>
      </c>
      <c r="P12" s="188"/>
      <c r="Q12" s="189"/>
      <c r="R12" s="186"/>
      <c r="S12" s="186"/>
      <c r="T12" s="190"/>
    </row>
    <row r="13" spans="1:20">
      <c r="A13" s="140"/>
      <c r="B13" s="154"/>
      <c r="C13" s="155"/>
      <c r="D13" s="152"/>
      <c r="E13" s="152"/>
      <c r="F13" s="156"/>
      <c r="G13" s="137"/>
      <c r="H13" s="174"/>
      <c r="I13" s="188"/>
      <c r="J13" s="189"/>
      <c r="K13" s="186"/>
      <c r="L13" s="186"/>
      <c r="M13" s="190"/>
      <c r="O13" s="174"/>
      <c r="P13" s="188"/>
      <c r="Q13" s="189"/>
      <c r="R13" s="186"/>
      <c r="S13" s="186"/>
      <c r="T13" s="190"/>
    </row>
    <row r="14" spans="1:20">
      <c r="A14" s="157">
        <v>41821</v>
      </c>
      <c r="B14" s="154">
        <v>3057</v>
      </c>
      <c r="C14" s="158">
        <f>'JULY 1 2014 TSA RATE'!N9</f>
        <v>-7.037627058540856E-2</v>
      </c>
      <c r="D14" s="152">
        <f>B14*C14</f>
        <v>-215.14025917959395</v>
      </c>
      <c r="E14" s="152"/>
      <c r="F14" s="156">
        <f>F10+D14</f>
        <v>15512.337562435756</v>
      </c>
      <c r="G14" s="137"/>
      <c r="H14" s="191">
        <v>41821</v>
      </c>
      <c r="I14" s="188">
        <v>1928</v>
      </c>
      <c r="J14" s="192">
        <f>'JULY 1 2014 TSA RATE'!N10</f>
        <v>-0.32621964475218435</v>
      </c>
      <c r="K14" s="186">
        <f>I14*J14</f>
        <v>-628.95147508221146</v>
      </c>
      <c r="L14" s="186"/>
      <c r="M14" s="190">
        <f>M10+K14</f>
        <v>5610.6516700928178</v>
      </c>
      <c r="O14" s="191">
        <v>41821</v>
      </c>
      <c r="P14" s="188">
        <v>12524</v>
      </c>
      <c r="Q14" s="192">
        <f>'JULY 1 2014 TSA RATE'!N11</f>
        <v>-0.17669995619806597</v>
      </c>
      <c r="R14" s="186">
        <f>P14*Q14</f>
        <v>-2212.9902514245782</v>
      </c>
      <c r="S14" s="186"/>
      <c r="T14" s="190">
        <f>T10+R14</f>
        <v>14596.12318178504</v>
      </c>
    </row>
    <row r="15" spans="1:20">
      <c r="A15" s="157">
        <v>41852</v>
      </c>
      <c r="B15" s="154">
        <v>3386</v>
      </c>
      <c r="C15" s="158">
        <f>C14</f>
        <v>-7.037627058540856E-2</v>
      </c>
      <c r="D15" s="152">
        <f t="shared" ref="D15:D25" si="0">B15*C15</f>
        <v>-238.29405220219337</v>
      </c>
      <c r="E15" s="152"/>
      <c r="F15" s="156">
        <f>F14+D15</f>
        <v>15274.043510233563</v>
      </c>
      <c r="G15" s="137"/>
      <c r="H15" s="191">
        <v>41852</v>
      </c>
      <c r="I15" s="188">
        <v>2230</v>
      </c>
      <c r="J15" s="192">
        <f>J14</f>
        <v>-0.32621964475218435</v>
      </c>
      <c r="K15" s="186">
        <f t="shared" ref="K15:K25" si="1">I15*J15</f>
        <v>-727.46980779737112</v>
      </c>
      <c r="L15" s="186"/>
      <c r="M15" s="190">
        <f>M14+K15</f>
        <v>4883.181862295447</v>
      </c>
      <c r="O15" s="191">
        <v>41852</v>
      </c>
      <c r="P15" s="188">
        <v>12029</v>
      </c>
      <c r="Q15" s="192">
        <f>Q14</f>
        <v>-0.17669995619806597</v>
      </c>
      <c r="R15" s="186">
        <f t="shared" ref="R15:R25" si="2">P15*Q15</f>
        <v>-2125.5237731065354</v>
      </c>
      <c r="S15" s="186"/>
      <c r="T15" s="190">
        <f>T14+R15</f>
        <v>12470.599408678505</v>
      </c>
    </row>
    <row r="16" spans="1:20">
      <c r="A16" s="157">
        <v>41883</v>
      </c>
      <c r="B16" s="154">
        <v>4098</v>
      </c>
      <c r="C16" s="158">
        <f t="shared" ref="C16:C25" si="3">C15</f>
        <v>-7.037627058540856E-2</v>
      </c>
      <c r="D16" s="152">
        <f t="shared" si="0"/>
        <v>-288.40195685900426</v>
      </c>
      <c r="E16" s="152"/>
      <c r="F16" s="156">
        <f t="shared" ref="F16:F25" si="4">F15+D16</f>
        <v>14985.641553374558</v>
      </c>
      <c r="G16" s="137"/>
      <c r="H16" s="191">
        <v>41883</v>
      </c>
      <c r="I16" s="188">
        <v>1830</v>
      </c>
      <c r="J16" s="192">
        <f t="shared" ref="J16:J25" si="5">J15</f>
        <v>-0.32621964475218435</v>
      </c>
      <c r="K16" s="186">
        <f t="shared" si="1"/>
        <v>-596.98194989649733</v>
      </c>
      <c r="L16" s="186"/>
      <c r="M16" s="190">
        <f t="shared" ref="M16:M25" si="6">M15+K16</f>
        <v>4286.1999123989499</v>
      </c>
      <c r="O16" s="191">
        <v>41883</v>
      </c>
      <c r="P16" s="188">
        <v>9858</v>
      </c>
      <c r="Q16" s="192">
        <f t="shared" ref="Q16:Q25" si="7">Q15</f>
        <v>-0.17669995619806597</v>
      </c>
      <c r="R16" s="186">
        <f t="shared" si="2"/>
        <v>-1741.9081682005344</v>
      </c>
      <c r="S16" s="186"/>
      <c r="T16" s="190">
        <f t="shared" ref="T16:T25" si="8">T15+R16</f>
        <v>10728.69124047797</v>
      </c>
    </row>
    <row r="17" spans="1:20">
      <c r="A17" s="157">
        <v>41913</v>
      </c>
      <c r="B17" s="154">
        <v>7533</v>
      </c>
      <c r="C17" s="158">
        <f t="shared" si="3"/>
        <v>-7.037627058540856E-2</v>
      </c>
      <c r="D17" s="152">
        <f t="shared" si="0"/>
        <v>-530.14444631988272</v>
      </c>
      <c r="E17" s="152"/>
      <c r="F17" s="156">
        <f t="shared" si="4"/>
        <v>14455.497107054676</v>
      </c>
      <c r="G17" s="137"/>
      <c r="H17" s="191">
        <v>41913</v>
      </c>
      <c r="I17" s="188">
        <v>1502</v>
      </c>
      <c r="J17" s="192">
        <f t="shared" si="5"/>
        <v>-0.32621964475218435</v>
      </c>
      <c r="K17" s="186">
        <f t="shared" si="1"/>
        <v>-489.98190641778086</v>
      </c>
      <c r="L17" s="186"/>
      <c r="M17" s="190">
        <f t="shared" si="6"/>
        <v>3796.218005981169</v>
      </c>
      <c r="O17" s="191">
        <v>41913</v>
      </c>
      <c r="P17" s="188">
        <v>7027</v>
      </c>
      <c r="Q17" s="192">
        <f t="shared" si="7"/>
        <v>-0.17669995619806597</v>
      </c>
      <c r="R17" s="186">
        <f t="shared" si="2"/>
        <v>-1241.6705922038095</v>
      </c>
      <c r="S17" s="186"/>
      <c r="T17" s="190">
        <f t="shared" si="8"/>
        <v>9487.0206482741614</v>
      </c>
    </row>
    <row r="18" spans="1:20">
      <c r="A18" s="157">
        <v>41944</v>
      </c>
      <c r="B18" s="154">
        <v>24787</v>
      </c>
      <c r="C18" s="158">
        <f t="shared" si="3"/>
        <v>-7.037627058540856E-2</v>
      </c>
      <c r="D18" s="152">
        <f t="shared" si="0"/>
        <v>-1744.4166190005219</v>
      </c>
      <c r="E18" s="152"/>
      <c r="F18" s="156">
        <f t="shared" si="4"/>
        <v>12711.080488054155</v>
      </c>
      <c r="G18" s="137"/>
      <c r="H18" s="191">
        <v>41944</v>
      </c>
      <c r="I18" s="188">
        <v>1463</v>
      </c>
      <c r="J18" s="192">
        <f t="shared" si="5"/>
        <v>-0.32621964475218435</v>
      </c>
      <c r="K18" s="186">
        <f t="shared" si="1"/>
        <v>-477.25934027244568</v>
      </c>
      <c r="L18" s="186"/>
      <c r="M18" s="190">
        <f t="shared" si="6"/>
        <v>3318.9586657087234</v>
      </c>
      <c r="O18" s="191">
        <v>41944</v>
      </c>
      <c r="P18" s="188">
        <v>6884</v>
      </c>
      <c r="Q18" s="192">
        <f t="shared" si="7"/>
        <v>-0.17669995619806597</v>
      </c>
      <c r="R18" s="186">
        <f t="shared" si="2"/>
        <v>-1216.4024984674861</v>
      </c>
      <c r="S18" s="186"/>
      <c r="T18" s="190">
        <f t="shared" si="8"/>
        <v>8270.6181498066762</v>
      </c>
    </row>
    <row r="19" spans="1:20">
      <c r="A19" s="157">
        <v>41975</v>
      </c>
      <c r="B19" s="154">
        <v>36387</v>
      </c>
      <c r="C19" s="158">
        <f t="shared" si="3"/>
        <v>-7.037627058540856E-2</v>
      </c>
      <c r="D19" s="152">
        <f t="shared" si="0"/>
        <v>-2560.7813577912611</v>
      </c>
      <c r="E19" s="152"/>
      <c r="F19" s="156">
        <f t="shared" si="4"/>
        <v>10150.299130262894</v>
      </c>
      <c r="G19" s="137"/>
      <c r="H19" s="191">
        <v>41975</v>
      </c>
      <c r="I19" s="188">
        <v>1396</v>
      </c>
      <c r="J19" s="192">
        <f t="shared" si="5"/>
        <v>-0.32621964475218435</v>
      </c>
      <c r="K19" s="186">
        <f t="shared" si="1"/>
        <v>-455.40262407404936</v>
      </c>
      <c r="L19" s="186"/>
      <c r="M19" s="190">
        <f t="shared" si="6"/>
        <v>2863.5560416346739</v>
      </c>
      <c r="O19" s="191">
        <v>41975</v>
      </c>
      <c r="P19" s="188">
        <v>5326</v>
      </c>
      <c r="Q19" s="192">
        <f t="shared" si="7"/>
        <v>-0.17669995619806597</v>
      </c>
      <c r="R19" s="186">
        <f t="shared" si="2"/>
        <v>-941.10396671089939</v>
      </c>
      <c r="S19" s="186"/>
      <c r="T19" s="190">
        <f t="shared" si="8"/>
        <v>7329.5141830957764</v>
      </c>
    </row>
    <row r="20" spans="1:20">
      <c r="A20" s="157">
        <v>42006</v>
      </c>
      <c r="B20" s="154">
        <v>33422</v>
      </c>
      <c r="C20" s="158">
        <f t="shared" si="3"/>
        <v>-7.037627058540856E-2</v>
      </c>
      <c r="D20" s="152">
        <f t="shared" si="0"/>
        <v>-2352.1157155055248</v>
      </c>
      <c r="E20" s="152"/>
      <c r="F20" s="156">
        <f t="shared" si="4"/>
        <v>7798.18341475737</v>
      </c>
      <c r="G20" s="137"/>
      <c r="H20" s="191">
        <v>42006</v>
      </c>
      <c r="I20" s="188">
        <v>1289</v>
      </c>
      <c r="J20" s="192">
        <f t="shared" si="5"/>
        <v>-0.32621964475218435</v>
      </c>
      <c r="K20" s="186">
        <f t="shared" si="1"/>
        <v>-420.49712208556565</v>
      </c>
      <c r="L20" s="186"/>
      <c r="M20" s="190">
        <f t="shared" si="6"/>
        <v>2443.0589195491084</v>
      </c>
      <c r="O20" s="191">
        <v>42006</v>
      </c>
      <c r="P20" s="188">
        <v>4810</v>
      </c>
      <c r="Q20" s="192">
        <f t="shared" si="7"/>
        <v>-0.17669995619806597</v>
      </c>
      <c r="R20" s="186">
        <f t="shared" si="2"/>
        <v>-849.92678931269734</v>
      </c>
      <c r="S20" s="186"/>
      <c r="T20" s="190">
        <f t="shared" si="8"/>
        <v>6479.5873937830793</v>
      </c>
    </row>
    <row r="21" spans="1:20">
      <c r="A21" s="157">
        <v>42037</v>
      </c>
      <c r="B21" s="154">
        <v>43111</v>
      </c>
      <c r="C21" s="158">
        <f t="shared" si="3"/>
        <v>-7.037627058540856E-2</v>
      </c>
      <c r="D21" s="152">
        <f t="shared" si="0"/>
        <v>-3033.9914012075483</v>
      </c>
      <c r="E21" s="152"/>
      <c r="F21" s="156">
        <f t="shared" si="4"/>
        <v>4764.1920135498221</v>
      </c>
      <c r="G21" s="137"/>
      <c r="H21" s="191">
        <v>42037</v>
      </c>
      <c r="I21" s="188">
        <v>524</v>
      </c>
      <c r="J21" s="192">
        <f t="shared" si="5"/>
        <v>-0.32621964475218435</v>
      </c>
      <c r="K21" s="186">
        <f t="shared" si="1"/>
        <v>-170.93909385014459</v>
      </c>
      <c r="L21" s="186"/>
      <c r="M21" s="190">
        <f t="shared" si="6"/>
        <v>2272.1198256989637</v>
      </c>
      <c r="O21" s="191">
        <v>42037</v>
      </c>
      <c r="P21" s="188">
        <v>4647</v>
      </c>
      <c r="Q21" s="192">
        <f t="shared" si="7"/>
        <v>-0.17669995619806597</v>
      </c>
      <c r="R21" s="186">
        <f t="shared" si="2"/>
        <v>-821.12469645241254</v>
      </c>
      <c r="S21" s="186"/>
      <c r="T21" s="190">
        <f t="shared" si="8"/>
        <v>5658.4626973306667</v>
      </c>
    </row>
    <row r="22" spans="1:20">
      <c r="A22" s="157">
        <v>42068</v>
      </c>
      <c r="B22" s="154">
        <v>34899</v>
      </c>
      <c r="C22" s="158">
        <f t="shared" si="3"/>
        <v>-7.037627058540856E-2</v>
      </c>
      <c r="D22" s="152">
        <f t="shared" si="0"/>
        <v>-2456.0614671601734</v>
      </c>
      <c r="E22" s="152"/>
      <c r="F22" s="156">
        <f t="shared" si="4"/>
        <v>2308.1305463896488</v>
      </c>
      <c r="G22" s="137"/>
      <c r="H22" s="191">
        <v>42068</v>
      </c>
      <c r="I22" s="188">
        <v>1433</v>
      </c>
      <c r="J22" s="192">
        <f t="shared" si="5"/>
        <v>-0.32621964475218435</v>
      </c>
      <c r="K22" s="186">
        <f t="shared" si="1"/>
        <v>-467.47275092988019</v>
      </c>
      <c r="L22" s="186"/>
      <c r="M22" s="190">
        <f t="shared" si="6"/>
        <v>1804.6470747690835</v>
      </c>
      <c r="O22" s="191">
        <v>42068</v>
      </c>
      <c r="P22" s="188">
        <v>4640</v>
      </c>
      <c r="Q22" s="192">
        <f t="shared" si="7"/>
        <v>-0.17669995619806597</v>
      </c>
      <c r="R22" s="186">
        <f t="shared" si="2"/>
        <v>-819.88779675902606</v>
      </c>
      <c r="S22" s="186"/>
      <c r="T22" s="190">
        <f t="shared" si="8"/>
        <v>4838.5749005716407</v>
      </c>
    </row>
    <row r="23" spans="1:20">
      <c r="A23" s="157">
        <v>42099</v>
      </c>
      <c r="B23" s="154">
        <v>20042</v>
      </c>
      <c r="C23" s="158">
        <f t="shared" si="3"/>
        <v>-7.037627058540856E-2</v>
      </c>
      <c r="D23" s="152">
        <f t="shared" si="0"/>
        <v>-1410.4812150727585</v>
      </c>
      <c r="E23" s="152"/>
      <c r="F23" s="156">
        <f t="shared" si="4"/>
        <v>897.64933131689031</v>
      </c>
      <c r="G23" s="137"/>
      <c r="H23" s="191">
        <v>42099</v>
      </c>
      <c r="I23" s="188">
        <v>1427</v>
      </c>
      <c r="J23" s="192">
        <f t="shared" si="5"/>
        <v>-0.32621964475218435</v>
      </c>
      <c r="K23" s="186">
        <f t="shared" si="1"/>
        <v>-465.51543306136705</v>
      </c>
      <c r="L23" s="186"/>
      <c r="M23" s="190">
        <f t="shared" si="6"/>
        <v>1339.1316417077164</v>
      </c>
      <c r="O23" s="191">
        <v>42099</v>
      </c>
      <c r="P23" s="188">
        <v>7281</v>
      </c>
      <c r="Q23" s="192">
        <f t="shared" si="7"/>
        <v>-0.17669995619806597</v>
      </c>
      <c r="R23" s="186">
        <f t="shared" si="2"/>
        <v>-1286.5523810781183</v>
      </c>
      <c r="S23" s="186"/>
      <c r="T23" s="190">
        <f t="shared" si="8"/>
        <v>3552.0225194935224</v>
      </c>
    </row>
    <row r="24" spans="1:20">
      <c r="A24" s="157">
        <v>42130</v>
      </c>
      <c r="B24" s="154">
        <v>7405</v>
      </c>
      <c r="C24" s="158">
        <f t="shared" si="3"/>
        <v>-7.037627058540856E-2</v>
      </c>
      <c r="D24" s="152">
        <f t="shared" si="0"/>
        <v>-521.1362836849504</v>
      </c>
      <c r="E24" s="152"/>
      <c r="F24" s="156">
        <f t="shared" si="4"/>
        <v>376.51304763193991</v>
      </c>
      <c r="G24" s="137"/>
      <c r="H24" s="191">
        <v>42130</v>
      </c>
      <c r="I24" s="188">
        <v>1951</v>
      </c>
      <c r="J24" s="192">
        <f t="shared" si="5"/>
        <v>-0.32621964475218435</v>
      </c>
      <c r="K24" s="186">
        <f t="shared" si="1"/>
        <v>-636.45452691151161</v>
      </c>
      <c r="L24" s="186"/>
      <c r="M24" s="190">
        <f t="shared" si="6"/>
        <v>702.67711479620482</v>
      </c>
      <c r="O24" s="191">
        <v>42130</v>
      </c>
      <c r="P24" s="188">
        <v>9319</v>
      </c>
      <c r="Q24" s="192">
        <f t="shared" si="7"/>
        <v>-0.17669995619806597</v>
      </c>
      <c r="R24" s="186">
        <f t="shared" si="2"/>
        <v>-1646.6668918097769</v>
      </c>
      <c r="S24" s="186"/>
      <c r="T24" s="190">
        <f t="shared" si="8"/>
        <v>1905.3556276837455</v>
      </c>
    </row>
    <row r="25" spans="1:20">
      <c r="A25" s="157">
        <v>42161</v>
      </c>
      <c r="B25" s="154">
        <v>5350</v>
      </c>
      <c r="C25" s="158">
        <f t="shared" si="3"/>
        <v>-7.037627058540856E-2</v>
      </c>
      <c r="D25" s="152">
        <f t="shared" si="0"/>
        <v>-376.51304763193582</v>
      </c>
      <c r="E25" s="152"/>
      <c r="F25" s="156">
        <f t="shared" si="4"/>
        <v>4.0927261579781771E-12</v>
      </c>
      <c r="G25" s="137"/>
      <c r="H25" s="191">
        <v>42161</v>
      </c>
      <c r="I25" s="188">
        <v>2154</v>
      </c>
      <c r="J25" s="192">
        <f t="shared" si="5"/>
        <v>-0.32621964475218435</v>
      </c>
      <c r="K25" s="186">
        <f t="shared" si="1"/>
        <v>-702.67711479620505</v>
      </c>
      <c r="L25" s="186"/>
      <c r="M25" s="190">
        <f t="shared" si="6"/>
        <v>0</v>
      </c>
      <c r="O25" s="191">
        <v>42161</v>
      </c>
      <c r="P25" s="188">
        <v>10783</v>
      </c>
      <c r="Q25" s="192">
        <f t="shared" si="7"/>
        <v>-0.17669995619806597</v>
      </c>
      <c r="R25" s="186">
        <f t="shared" si="2"/>
        <v>-1905.3556276837453</v>
      </c>
      <c r="S25" s="186"/>
      <c r="T25" s="190">
        <f t="shared" si="8"/>
        <v>0</v>
      </c>
    </row>
    <row r="26" spans="1:20">
      <c r="A26" s="159"/>
      <c r="B26" s="160"/>
      <c r="C26" s="158"/>
      <c r="D26" s="161"/>
      <c r="E26" s="152"/>
      <c r="F26" s="156"/>
      <c r="G26" s="137"/>
      <c r="H26" s="193"/>
      <c r="I26" s="194"/>
      <c r="J26" s="192"/>
      <c r="K26" s="195"/>
      <c r="L26" s="186"/>
      <c r="M26" s="190"/>
      <c r="O26" s="193"/>
      <c r="P26" s="194"/>
      <c r="Q26" s="192"/>
      <c r="R26" s="195"/>
      <c r="S26" s="186"/>
      <c r="T26" s="190"/>
    </row>
    <row r="27" spans="1:20">
      <c r="A27" s="162"/>
      <c r="B27" s="163">
        <f>SUM(B14:B26)</f>
        <v>223477</v>
      </c>
      <c r="C27" s="164"/>
      <c r="D27" s="165">
        <f>SUM(D14:D26)</f>
        <v>-15727.47782161535</v>
      </c>
      <c r="E27" s="166"/>
      <c r="F27" s="138"/>
      <c r="G27" s="137"/>
      <c r="H27" s="196"/>
      <c r="I27" s="197">
        <f>SUM(I14:I26)</f>
        <v>19127</v>
      </c>
      <c r="J27" s="198"/>
      <c r="K27" s="199">
        <f>SUM(K14:K26)</f>
        <v>-6239.6031451750296</v>
      </c>
      <c r="L27" s="200"/>
      <c r="M27" s="201"/>
      <c r="O27" s="196"/>
      <c r="P27" s="197">
        <f>SUM(P14:P26)</f>
        <v>95128</v>
      </c>
      <c r="Q27" s="198"/>
      <c r="R27" s="199">
        <f>SUM(R14:R26)</f>
        <v>-16809.113433209619</v>
      </c>
      <c r="S27" s="200"/>
      <c r="T27" s="201"/>
    </row>
    <row r="28" spans="1:20">
      <c r="A28" s="167"/>
      <c r="B28" s="167"/>
      <c r="C28" s="168"/>
      <c r="D28" s="169"/>
      <c r="E28" s="169"/>
      <c r="F28" s="169"/>
      <c r="G28" s="139"/>
    </row>
    <row r="29" spans="1:20">
      <c r="A29" s="137"/>
      <c r="B29" s="137"/>
      <c r="C29" s="137"/>
      <c r="D29" s="137"/>
      <c r="E29" s="137"/>
      <c r="F29" s="137"/>
    </row>
    <row r="30" spans="1:20">
      <c r="A30" s="22" t="s">
        <v>144</v>
      </c>
    </row>
  </sheetData>
  <pageMargins left="0" right="0" top="1" bottom="0.25" header="0.3" footer="0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A25"/>
  <sheetViews>
    <sheetView workbookViewId="0">
      <selection activeCell="A38" sqref="A38"/>
    </sheetView>
  </sheetViews>
  <sheetFormatPr defaultRowHeight="15"/>
  <cols>
    <col min="1" max="1" width="130.140625" customWidth="1"/>
  </cols>
  <sheetData>
    <row r="1" spans="1:1">
      <c r="A1" s="22" t="s">
        <v>149</v>
      </c>
    </row>
    <row r="3" spans="1:1">
      <c r="A3" t="s">
        <v>150</v>
      </c>
    </row>
    <row r="5" spans="1:1">
      <c r="A5" t="s">
        <v>151</v>
      </c>
    </row>
    <row r="7" spans="1:1">
      <c r="A7" t="s">
        <v>152</v>
      </c>
    </row>
    <row r="8" spans="1:1">
      <c r="A8" t="s">
        <v>153</v>
      </c>
    </row>
    <row r="10" spans="1:1">
      <c r="A10" t="s">
        <v>154</v>
      </c>
    </row>
    <row r="12" spans="1:1">
      <c r="A12" t="s">
        <v>155</v>
      </c>
    </row>
    <row r="14" spans="1:1">
      <c r="A14" t="s">
        <v>156</v>
      </c>
    </row>
    <row r="16" spans="1:1">
      <c r="A16" s="75" t="s">
        <v>157</v>
      </c>
    </row>
    <row r="18" spans="1:1">
      <c r="A18" s="17" t="s">
        <v>158</v>
      </c>
    </row>
    <row r="20" spans="1:1">
      <c r="A20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ASSESSMENT</vt:lpstr>
      <vt:lpstr>JULY 1 2014 TSA RATE</vt:lpstr>
      <vt:lpstr>Rate Calculation</vt:lpstr>
      <vt:lpstr>ESCO Revenue</vt:lpstr>
      <vt:lpstr>TSA $ Collected</vt:lpstr>
      <vt:lpstr>Carrying Charges</vt:lpstr>
      <vt:lpstr>TSA Payments-collections</vt:lpstr>
      <vt:lpstr>Proforma 2014-2015</vt:lpstr>
      <vt:lpstr>Review requests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 Johnston</dc:creator>
  <cp:lastModifiedBy>x375kg</cp:lastModifiedBy>
  <cp:lastPrinted>2014-08-26T15:37:30Z</cp:lastPrinted>
  <dcterms:created xsi:type="dcterms:W3CDTF">2009-06-25T19:38:49Z</dcterms:created>
  <dcterms:modified xsi:type="dcterms:W3CDTF">2014-08-26T20:28:33Z</dcterms:modified>
</cp:coreProperties>
</file>