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ALLIED\Westchester Business Council\Gas Advisory Board\15-E-0302  8-2023 PSC FILING\Filing 4-2026\Final Documents\"/>
    </mc:Choice>
  </mc:AlternateContent>
  <xr:revisionPtr revIDLastSave="0" documentId="8_{7733FD09-0C03-4909-978C-75CAD2888080}" xr6:coauthVersionLast="47" xr6:coauthVersionMax="47" xr10:uidLastSave="{00000000-0000-0000-0000-000000000000}"/>
  <bookViews>
    <workbookView xWindow="2205" yWindow="1320" windowWidth="24555" windowHeight="19200" tabRatio="500" firstSheet="1" activeTab="7" xr2:uid="{00000000-000D-0000-FFFF-FFFF00000000}"/>
  </bookViews>
  <sheets>
    <sheet name="Summary" sheetId="1" r:id="rId1"/>
    <sheet name="Assumptions" sheetId="2" r:id="rId2"/>
    <sheet name="Gas Plant LCOE" sheetId="3" r:id="rId3"/>
    <sheet name="Offshore Wind LCOE" sheetId="4" r:id="rId4"/>
    <sheet name="Crossover Analysis" sheetId="5" r:id="rId5"/>
    <sheet name="Charts" sheetId="6" r:id="rId6"/>
    <sheet name="BESS Duration Sensitivity" sheetId="7" r:id="rId7"/>
    <sheet name="Duration Crossover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9" i="8" l="1"/>
  <c r="E109" i="8"/>
  <c r="D102" i="8"/>
  <c r="M97" i="8"/>
  <c r="J97" i="8"/>
  <c r="I97" i="8"/>
  <c r="H97" i="8"/>
  <c r="G97" i="8"/>
  <c r="M95" i="8"/>
  <c r="J95" i="8"/>
  <c r="I95" i="8"/>
  <c r="H95" i="8"/>
  <c r="G95" i="8"/>
  <c r="O88" i="8"/>
  <c r="N88" i="8"/>
  <c r="M88" i="8"/>
  <c r="O87" i="8"/>
  <c r="M87" i="8"/>
  <c r="L87" i="8"/>
  <c r="K87" i="8"/>
  <c r="J87" i="8"/>
  <c r="M86" i="8"/>
  <c r="L86" i="8"/>
  <c r="J86" i="8"/>
  <c r="I86" i="8"/>
  <c r="H86" i="8"/>
  <c r="G86" i="8"/>
  <c r="D40" i="8"/>
  <c r="C40" i="8"/>
  <c r="F40" i="8" s="1"/>
  <c r="H35" i="8"/>
  <c r="F35" i="8"/>
  <c r="E35" i="8"/>
  <c r="O22" i="8"/>
  <c r="N22" i="8"/>
  <c r="M22" i="8"/>
  <c r="O21" i="8"/>
  <c r="N21" i="8"/>
  <c r="M21" i="8"/>
  <c r="L21" i="8"/>
  <c r="K21" i="8"/>
  <c r="J21" i="8"/>
  <c r="N18" i="8"/>
  <c r="M18" i="8"/>
  <c r="K18" i="8"/>
  <c r="J18" i="8"/>
  <c r="I18" i="8"/>
  <c r="H18" i="8"/>
  <c r="G18" i="8"/>
  <c r="N17" i="8"/>
  <c r="K17" i="8"/>
  <c r="J17" i="8"/>
  <c r="H17" i="8"/>
  <c r="G17" i="8"/>
  <c r="F17" i="8"/>
  <c r="K16" i="8"/>
  <c r="J16" i="8"/>
  <c r="H16" i="8"/>
  <c r="G16" i="8"/>
  <c r="F16" i="8"/>
  <c r="H15" i="8"/>
  <c r="G15" i="8"/>
  <c r="O10" i="8"/>
  <c r="N10" i="8"/>
  <c r="M10" i="8"/>
  <c r="O9" i="8"/>
  <c r="N9" i="8"/>
  <c r="M9" i="8"/>
  <c r="L9" i="8"/>
  <c r="K9" i="8"/>
  <c r="J9" i="8"/>
  <c r="J67" i="7"/>
  <c r="I67" i="7"/>
  <c r="H67" i="7"/>
  <c r="G67" i="7"/>
  <c r="F67" i="7"/>
  <c r="E67" i="7"/>
  <c r="O23" i="8" s="1"/>
  <c r="D67" i="7"/>
  <c r="I66" i="7"/>
  <c r="J66" i="7" s="1"/>
  <c r="H66" i="7"/>
  <c r="G66" i="7"/>
  <c r="F66" i="7"/>
  <c r="E66" i="7"/>
  <c r="N23" i="8" s="1"/>
  <c r="D66" i="7"/>
  <c r="H65" i="7"/>
  <c r="G65" i="7"/>
  <c r="F65" i="7"/>
  <c r="E65" i="7"/>
  <c r="M23" i="8" s="1"/>
  <c r="D65" i="7"/>
  <c r="I62" i="7"/>
  <c r="J62" i="7" s="1"/>
  <c r="H62" i="7"/>
  <c r="G62" i="7"/>
  <c r="F62" i="7"/>
  <c r="E62" i="7"/>
  <c r="L22" i="8" s="1"/>
  <c r="D62" i="7"/>
  <c r="H61" i="7"/>
  <c r="G61" i="7"/>
  <c r="F61" i="7"/>
  <c r="E61" i="7"/>
  <c r="K22" i="8" s="1"/>
  <c r="D61" i="7"/>
  <c r="H60" i="7"/>
  <c r="G60" i="7"/>
  <c r="F60" i="7"/>
  <c r="E60" i="7"/>
  <c r="J22" i="8" s="1"/>
  <c r="D60" i="7"/>
  <c r="H57" i="7"/>
  <c r="G57" i="7"/>
  <c r="F57" i="7"/>
  <c r="E57" i="7"/>
  <c r="I21" i="8" s="1"/>
  <c r="D57" i="7"/>
  <c r="H56" i="7"/>
  <c r="G56" i="7"/>
  <c r="F56" i="7"/>
  <c r="E56" i="7"/>
  <c r="H21" i="8" s="1"/>
  <c r="D56" i="7"/>
  <c r="H55" i="7"/>
  <c r="G55" i="7"/>
  <c r="F55" i="7"/>
  <c r="E55" i="7"/>
  <c r="G21" i="8" s="1"/>
  <c r="D55" i="7"/>
  <c r="H47" i="7"/>
  <c r="I47" i="7" s="1"/>
  <c r="G47" i="7"/>
  <c r="F47" i="7"/>
  <c r="E47" i="7"/>
  <c r="O15" i="8" s="1"/>
  <c r="D47" i="7"/>
  <c r="H46" i="7"/>
  <c r="G46" i="7"/>
  <c r="F46" i="7"/>
  <c r="E46" i="7"/>
  <c r="N15" i="8" s="1"/>
  <c r="D46" i="7"/>
  <c r="H45" i="7"/>
  <c r="G45" i="7"/>
  <c r="F45" i="7"/>
  <c r="E45" i="7"/>
  <c r="M17" i="8" s="1"/>
  <c r="D45" i="7"/>
  <c r="H42" i="7"/>
  <c r="G42" i="7"/>
  <c r="F42" i="7"/>
  <c r="E42" i="7"/>
  <c r="L15" i="8" s="1"/>
  <c r="D42" i="7"/>
  <c r="H41" i="7"/>
  <c r="G41" i="7"/>
  <c r="F41" i="7"/>
  <c r="E41" i="7"/>
  <c r="K15" i="8" s="1"/>
  <c r="D41" i="7"/>
  <c r="I40" i="7"/>
  <c r="J40" i="7" s="1"/>
  <c r="H40" i="7"/>
  <c r="G40" i="7"/>
  <c r="F40" i="7"/>
  <c r="E40" i="7"/>
  <c r="J15" i="8" s="1"/>
  <c r="D40" i="7"/>
  <c r="H37" i="7"/>
  <c r="G37" i="7"/>
  <c r="F37" i="7"/>
  <c r="E37" i="7"/>
  <c r="I15" i="8" s="1"/>
  <c r="D37" i="7"/>
  <c r="I36" i="7"/>
  <c r="J36" i="7" s="1"/>
  <c r="H36" i="7"/>
  <c r="G36" i="7"/>
  <c r="F36" i="7"/>
  <c r="E36" i="7"/>
  <c r="D36" i="7"/>
  <c r="I35" i="7"/>
  <c r="H35" i="7"/>
  <c r="J35" i="7" s="1"/>
  <c r="G35" i="7"/>
  <c r="F35" i="7"/>
  <c r="E35" i="7"/>
  <c r="D35" i="7"/>
  <c r="H27" i="7"/>
  <c r="G27" i="7"/>
  <c r="O89" i="8" s="1"/>
  <c r="F27" i="7"/>
  <c r="E27" i="7"/>
  <c r="O11" i="8" s="1"/>
  <c r="D27" i="7"/>
  <c r="H26" i="7"/>
  <c r="I26" i="7" s="1"/>
  <c r="G26" i="7"/>
  <c r="H112" i="8" s="1"/>
  <c r="F26" i="7"/>
  <c r="E26" i="7"/>
  <c r="H34" i="8" s="1"/>
  <c r="D26" i="7"/>
  <c r="H25" i="7"/>
  <c r="G25" i="7"/>
  <c r="M89" i="8" s="1"/>
  <c r="F25" i="7"/>
  <c r="E25" i="7"/>
  <c r="M11" i="8" s="1"/>
  <c r="D25" i="7"/>
  <c r="H22" i="7"/>
  <c r="I22" i="7" s="1"/>
  <c r="J22" i="7" s="1"/>
  <c r="G22" i="7"/>
  <c r="L88" i="8" s="1"/>
  <c r="F22" i="7"/>
  <c r="E22" i="7"/>
  <c r="L10" i="8" s="1"/>
  <c r="D22" i="7"/>
  <c r="H21" i="7"/>
  <c r="I21" i="7" s="1"/>
  <c r="G21" i="7"/>
  <c r="G112" i="8" s="1"/>
  <c r="F21" i="7"/>
  <c r="E21" i="7"/>
  <c r="G34" i="8" s="1"/>
  <c r="D21" i="7"/>
  <c r="H20" i="7"/>
  <c r="I20" i="7" s="1"/>
  <c r="J20" i="7" s="1"/>
  <c r="G20" i="7"/>
  <c r="J88" i="8" s="1"/>
  <c r="F20" i="7"/>
  <c r="E20" i="7"/>
  <c r="J10" i="8" s="1"/>
  <c r="D20" i="7"/>
  <c r="J17" i="7"/>
  <c r="I17" i="7"/>
  <c r="H17" i="7"/>
  <c r="G17" i="7"/>
  <c r="I87" i="8" s="1"/>
  <c r="F17" i="7"/>
  <c r="E17" i="7"/>
  <c r="I9" i="8" s="1"/>
  <c r="D17" i="7"/>
  <c r="I16" i="7"/>
  <c r="J16" i="7" s="1"/>
  <c r="H16" i="7"/>
  <c r="G16" i="7"/>
  <c r="H87" i="8" s="1"/>
  <c r="F16" i="7"/>
  <c r="I96" i="8" s="1"/>
  <c r="E16" i="7"/>
  <c r="H9" i="8" s="1"/>
  <c r="D16" i="7"/>
  <c r="G96" i="8" s="1"/>
  <c r="H15" i="7"/>
  <c r="I15" i="7" s="1"/>
  <c r="G15" i="7"/>
  <c r="G87" i="8" s="1"/>
  <c r="F15" i="7"/>
  <c r="E15" i="7"/>
  <c r="G9" i="8" s="1"/>
  <c r="D15" i="7"/>
  <c r="D24" i="6"/>
  <c r="D22" i="6"/>
  <c r="E21" i="6"/>
  <c r="D21" i="6"/>
  <c r="C21" i="6"/>
  <c r="C11" i="6"/>
  <c r="E10" i="6"/>
  <c r="C10" i="6"/>
  <c r="E9" i="6"/>
  <c r="D9" i="6"/>
  <c r="C9" i="6"/>
  <c r="E8" i="6"/>
  <c r="D8" i="6"/>
  <c r="C8" i="6"/>
  <c r="R23" i="5"/>
  <c r="Q23" i="5"/>
  <c r="R22" i="5"/>
  <c r="O22" i="5"/>
  <c r="N22" i="5"/>
  <c r="M22" i="5"/>
  <c r="L22" i="5"/>
  <c r="R18" i="5"/>
  <c r="Q18" i="5"/>
  <c r="R17" i="5"/>
  <c r="O17" i="5"/>
  <c r="N17" i="5"/>
  <c r="M17" i="5"/>
  <c r="L17" i="5"/>
  <c r="Q16" i="5"/>
  <c r="R15" i="5"/>
  <c r="Q15" i="5"/>
  <c r="N15" i="5"/>
  <c r="R12" i="5"/>
  <c r="P12" i="5"/>
  <c r="O12" i="5"/>
  <c r="N12" i="5"/>
  <c r="M12" i="5"/>
  <c r="L12" i="5"/>
  <c r="R11" i="5"/>
  <c r="P11" i="5"/>
  <c r="R10" i="5"/>
  <c r="Q10" i="5"/>
  <c r="P10" i="5"/>
  <c r="N10" i="5"/>
  <c r="R9" i="5"/>
  <c r="P9" i="5"/>
  <c r="O9" i="5"/>
  <c r="N9" i="5"/>
  <c r="M9" i="5"/>
  <c r="L9" i="5"/>
  <c r="K39" i="4"/>
  <c r="J39" i="4"/>
  <c r="I39" i="4"/>
  <c r="R24" i="5" s="1"/>
  <c r="H39" i="4"/>
  <c r="G39" i="4"/>
  <c r="F39" i="4"/>
  <c r="E39" i="4"/>
  <c r="K38" i="4"/>
  <c r="J38" i="4"/>
  <c r="I38" i="4"/>
  <c r="Q24" i="5" s="1"/>
  <c r="H38" i="4"/>
  <c r="E38" i="4"/>
  <c r="F38" i="4" s="1"/>
  <c r="K37" i="4"/>
  <c r="J37" i="4"/>
  <c r="I37" i="4"/>
  <c r="P23" i="5" s="1"/>
  <c r="H37" i="4"/>
  <c r="G37" i="4"/>
  <c r="F37" i="4"/>
  <c r="E37" i="4"/>
  <c r="K34" i="4"/>
  <c r="J34" i="4"/>
  <c r="I34" i="4"/>
  <c r="R16" i="5" s="1"/>
  <c r="H34" i="4"/>
  <c r="G34" i="4"/>
  <c r="F34" i="4"/>
  <c r="E34" i="4"/>
  <c r="K33" i="4"/>
  <c r="J33" i="4"/>
  <c r="I33" i="4"/>
  <c r="Q17" i="5" s="1"/>
  <c r="H33" i="4"/>
  <c r="F33" i="4"/>
  <c r="G33" i="4" s="1"/>
  <c r="E33" i="4"/>
  <c r="K32" i="4"/>
  <c r="J32" i="4"/>
  <c r="I32" i="4"/>
  <c r="P18" i="5" s="1"/>
  <c r="H32" i="4"/>
  <c r="E32" i="4"/>
  <c r="K29" i="4"/>
  <c r="F24" i="6" s="1"/>
  <c r="J29" i="4"/>
  <c r="E24" i="6" s="1"/>
  <c r="I29" i="4"/>
  <c r="E11" i="6" s="1"/>
  <c r="H29" i="4"/>
  <c r="C24" i="6" s="1"/>
  <c r="G29" i="4"/>
  <c r="F29" i="4"/>
  <c r="E29" i="4"/>
  <c r="K28" i="4"/>
  <c r="F23" i="6" s="1"/>
  <c r="J28" i="4"/>
  <c r="E23" i="6" s="1"/>
  <c r="I28" i="4"/>
  <c r="Q11" i="5" s="1"/>
  <c r="H28" i="4"/>
  <c r="C23" i="6" s="1"/>
  <c r="E28" i="4"/>
  <c r="F28" i="4" s="1"/>
  <c r="G28" i="4" s="1"/>
  <c r="K27" i="4"/>
  <c r="F22" i="6" s="1"/>
  <c r="J27" i="4"/>
  <c r="E22" i="6" s="1"/>
  <c r="I27" i="4"/>
  <c r="H27" i="4"/>
  <c r="C22" i="6" s="1"/>
  <c r="E27" i="4"/>
  <c r="G21" i="4"/>
  <c r="F21" i="4"/>
  <c r="E21" i="4"/>
  <c r="D21" i="4"/>
  <c r="C21" i="4"/>
  <c r="G20" i="4"/>
  <c r="F20" i="4"/>
  <c r="E20" i="4"/>
  <c r="G19" i="4"/>
  <c r="F86" i="8" s="1"/>
  <c r="F19" i="4"/>
  <c r="N23" i="5" s="1"/>
  <c r="E19" i="4"/>
  <c r="D19" i="4"/>
  <c r="F18" i="8" s="1"/>
  <c r="C19" i="4"/>
  <c r="L23" i="5" s="1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E11" i="4"/>
  <c r="C11" i="4"/>
  <c r="E10" i="4"/>
  <c r="C10" i="4"/>
  <c r="E9" i="4"/>
  <c r="E8" i="4"/>
  <c r="C8" i="4"/>
  <c r="E7" i="4"/>
  <c r="C7" i="4"/>
  <c r="D46" i="2"/>
  <c r="D38" i="2"/>
  <c r="D29" i="2"/>
  <c r="D20" i="2"/>
  <c r="D8" i="2"/>
  <c r="D12" i="2" s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J46" i="7" l="1"/>
  <c r="G32" i="4"/>
  <c r="C17" i="3"/>
  <c r="D18" i="5" s="1"/>
  <c r="E23" i="3"/>
  <c r="F24" i="5" s="1"/>
  <c r="F17" i="3"/>
  <c r="G18" i="5" s="1"/>
  <c r="E17" i="3"/>
  <c r="F18" i="5" s="1"/>
  <c r="K11" i="3"/>
  <c r="J11" i="3"/>
  <c r="J12" i="5" s="1"/>
  <c r="D17" i="3"/>
  <c r="I11" i="3"/>
  <c r="C23" i="3"/>
  <c r="D24" i="5" s="1"/>
  <c r="I17" i="3"/>
  <c r="H17" i="3"/>
  <c r="H18" i="5" s="1"/>
  <c r="H11" i="3"/>
  <c r="H12" i="5" s="1"/>
  <c r="K23" i="3"/>
  <c r="K24" i="5" s="1"/>
  <c r="F11" i="3"/>
  <c r="E11" i="3"/>
  <c r="D11" i="3"/>
  <c r="J17" i="3"/>
  <c r="J18" i="5" s="1"/>
  <c r="C11" i="3"/>
  <c r="F23" i="3"/>
  <c r="G24" i="5" s="1"/>
  <c r="J23" i="3"/>
  <c r="J24" i="5" s="1"/>
  <c r="I23" i="3"/>
  <c r="H23" i="3"/>
  <c r="H24" i="5" s="1"/>
  <c r="D23" i="3"/>
  <c r="K17" i="3"/>
  <c r="K18" i="5" s="1"/>
  <c r="J47" i="7"/>
  <c r="J15" i="7"/>
  <c r="D9" i="2"/>
  <c r="G38" i="4"/>
  <c r="J21" i="7"/>
  <c r="I37" i="7"/>
  <c r="J37" i="7" s="1"/>
  <c r="N86" i="8"/>
  <c r="D10" i="2"/>
  <c r="Q9" i="5"/>
  <c r="Q12" i="5"/>
  <c r="Q22" i="5"/>
  <c r="D10" i="6"/>
  <c r="F21" i="6"/>
  <c r="I55" i="7"/>
  <c r="J55" i="7" s="1"/>
  <c r="F15" i="8"/>
  <c r="I16" i="8"/>
  <c r="L17" i="8"/>
  <c r="O18" i="8"/>
  <c r="E32" i="8"/>
  <c r="E40" i="8"/>
  <c r="G40" i="8" s="1"/>
  <c r="O86" i="8"/>
  <c r="N95" i="8"/>
  <c r="N97" i="8"/>
  <c r="E110" i="8"/>
  <c r="G109" i="8"/>
  <c r="F27" i="4"/>
  <c r="G27" i="4" s="1"/>
  <c r="I60" i="7"/>
  <c r="J60" i="7" s="1"/>
  <c r="I17" i="8"/>
  <c r="H109" i="8"/>
  <c r="I27" i="7"/>
  <c r="J27" i="7" s="1"/>
  <c r="G32" i="8"/>
  <c r="G110" i="8"/>
  <c r="L11" i="5"/>
  <c r="L16" i="5"/>
  <c r="L21" i="5"/>
  <c r="L24" i="5"/>
  <c r="D11" i="6"/>
  <c r="I45" i="7"/>
  <c r="J45" i="7" s="1"/>
  <c r="F12" i="8"/>
  <c r="L16" i="8"/>
  <c r="O17" i="8"/>
  <c r="F24" i="8"/>
  <c r="H32" i="8"/>
  <c r="C41" i="8"/>
  <c r="E102" i="8"/>
  <c r="G102" i="8" s="1"/>
  <c r="H110" i="8"/>
  <c r="I42" i="7"/>
  <c r="J42" i="7" s="1"/>
  <c r="L18" i="8"/>
  <c r="K95" i="8"/>
  <c r="M11" i="5"/>
  <c r="M16" i="5"/>
  <c r="M21" i="5"/>
  <c r="M24" i="5"/>
  <c r="I61" i="7"/>
  <c r="J61" i="7" s="1"/>
  <c r="G12" i="8"/>
  <c r="M16" i="8"/>
  <c r="G24" i="8"/>
  <c r="D41" i="8"/>
  <c r="I65" i="7"/>
  <c r="J65" i="7" s="1"/>
  <c r="G35" i="8"/>
  <c r="K86" i="8"/>
  <c r="N11" i="5"/>
  <c r="N16" i="5"/>
  <c r="N21" i="5"/>
  <c r="N24" i="5"/>
  <c r="H12" i="8"/>
  <c r="N16" i="8"/>
  <c r="H24" i="8"/>
  <c r="E41" i="8"/>
  <c r="G41" i="8" s="1"/>
  <c r="G94" i="8"/>
  <c r="J26" i="7"/>
  <c r="O11" i="5"/>
  <c r="O16" i="5"/>
  <c r="O21" i="5"/>
  <c r="O24" i="5"/>
  <c r="D23" i="6"/>
  <c r="F11" i="8"/>
  <c r="I12" i="8"/>
  <c r="O16" i="8"/>
  <c r="F23" i="8"/>
  <c r="I24" i="8"/>
  <c r="E33" i="8"/>
  <c r="F89" i="8"/>
  <c r="H94" i="8"/>
  <c r="H96" i="8"/>
  <c r="C103" i="8"/>
  <c r="E111" i="8"/>
  <c r="P16" i="5"/>
  <c r="P21" i="5"/>
  <c r="P24" i="5"/>
  <c r="I56" i="7"/>
  <c r="J56" i="7" s="1"/>
  <c r="G11" i="8"/>
  <c r="J12" i="8"/>
  <c r="M15" i="8"/>
  <c r="G23" i="8"/>
  <c r="J24" i="8"/>
  <c r="F33" i="8"/>
  <c r="G89" i="8"/>
  <c r="I94" i="8"/>
  <c r="D103" i="8"/>
  <c r="F103" i="8" s="1"/>
  <c r="F111" i="8"/>
  <c r="N87" i="8"/>
  <c r="K97" i="8"/>
  <c r="Q21" i="5"/>
  <c r="H11" i="8"/>
  <c r="K12" i="8"/>
  <c r="H23" i="8"/>
  <c r="K24" i="8"/>
  <c r="G33" i="8"/>
  <c r="C42" i="8"/>
  <c r="H89" i="8"/>
  <c r="J94" i="8"/>
  <c r="J96" i="8"/>
  <c r="E103" i="8"/>
  <c r="G111" i="8"/>
  <c r="P22" i="5"/>
  <c r="R21" i="5"/>
  <c r="F10" i="8"/>
  <c r="I11" i="8"/>
  <c r="L12" i="8"/>
  <c r="F22" i="8"/>
  <c r="I23" i="8"/>
  <c r="L24" i="8"/>
  <c r="H33" i="8"/>
  <c r="D42" i="8"/>
  <c r="F42" i="8" s="1"/>
  <c r="F88" i="8"/>
  <c r="I89" i="8"/>
  <c r="K94" i="8"/>
  <c r="K96" i="8"/>
  <c r="H111" i="8"/>
  <c r="F32" i="4"/>
  <c r="L95" i="8"/>
  <c r="F32" i="8"/>
  <c r="I46" i="7"/>
  <c r="G10" i="8"/>
  <c r="J11" i="8"/>
  <c r="M12" i="8"/>
  <c r="G22" i="8"/>
  <c r="J23" i="8"/>
  <c r="M24" i="8"/>
  <c r="E42" i="8"/>
  <c r="G88" i="8"/>
  <c r="J89" i="8"/>
  <c r="L94" i="8"/>
  <c r="L96" i="8"/>
  <c r="L97" i="8"/>
  <c r="D11" i="2"/>
  <c r="L10" i="5"/>
  <c r="L15" i="5"/>
  <c r="L18" i="5"/>
  <c r="H10" i="8"/>
  <c r="K11" i="8"/>
  <c r="N12" i="8"/>
  <c r="H22" i="8"/>
  <c r="K23" i="8"/>
  <c r="N24" i="8"/>
  <c r="H88" i="8"/>
  <c r="K89" i="8"/>
  <c r="M94" i="8"/>
  <c r="M96" i="8"/>
  <c r="C104" i="8"/>
  <c r="C102" i="8"/>
  <c r="F102" i="8" s="1"/>
  <c r="M10" i="5"/>
  <c r="M15" i="5"/>
  <c r="M18" i="5"/>
  <c r="M23" i="5"/>
  <c r="I25" i="7"/>
  <c r="J25" i="7" s="1"/>
  <c r="F9" i="8"/>
  <c r="I10" i="8"/>
  <c r="L11" i="8"/>
  <c r="O12" i="8"/>
  <c r="F21" i="8"/>
  <c r="I22" i="8"/>
  <c r="L23" i="8"/>
  <c r="O24" i="8"/>
  <c r="E34" i="8"/>
  <c r="F87" i="8"/>
  <c r="I88" i="8"/>
  <c r="L89" i="8"/>
  <c r="N94" i="8"/>
  <c r="N96" i="8"/>
  <c r="D104" i="8"/>
  <c r="F104" i="8" s="1"/>
  <c r="E112" i="8"/>
  <c r="N18" i="5"/>
  <c r="I41" i="7"/>
  <c r="J41" i="7" s="1"/>
  <c r="F34" i="8"/>
  <c r="E104" i="8"/>
  <c r="G104" i="8" s="1"/>
  <c r="F112" i="8"/>
  <c r="P17" i="5"/>
  <c r="F110" i="8"/>
  <c r="O10" i="5"/>
  <c r="O15" i="5"/>
  <c r="O18" i="5"/>
  <c r="O23" i="5"/>
  <c r="I57" i="7"/>
  <c r="J57" i="7" s="1"/>
  <c r="K10" i="8"/>
  <c r="N11" i="8"/>
  <c r="K88" i="8"/>
  <c r="N89" i="8"/>
  <c r="P15" i="5"/>
  <c r="C9" i="3" l="1"/>
  <c r="K21" i="3"/>
  <c r="K22" i="5" s="1"/>
  <c r="J21" i="3"/>
  <c r="J22" i="5" s="1"/>
  <c r="D9" i="3"/>
  <c r="I21" i="3"/>
  <c r="K15" i="3"/>
  <c r="K16" i="5" s="1"/>
  <c r="F15" i="3"/>
  <c r="G16" i="5" s="1"/>
  <c r="H21" i="3"/>
  <c r="H22" i="5" s="1"/>
  <c r="C15" i="3"/>
  <c r="D16" i="5" s="1"/>
  <c r="J9" i="3"/>
  <c r="J10" i="5" s="1"/>
  <c r="F21" i="3"/>
  <c r="G22" i="5" s="1"/>
  <c r="F9" i="3"/>
  <c r="E21" i="3"/>
  <c r="F22" i="5" s="1"/>
  <c r="D21" i="3"/>
  <c r="K9" i="3"/>
  <c r="I9" i="3"/>
  <c r="C21" i="3"/>
  <c r="D22" i="5" s="1"/>
  <c r="H9" i="3"/>
  <c r="H10" i="5" s="1"/>
  <c r="J15" i="3"/>
  <c r="J16" i="5" s="1"/>
  <c r="I15" i="3"/>
  <c r="E15" i="3"/>
  <c r="F16" i="5" s="1"/>
  <c r="H15" i="3"/>
  <c r="H16" i="5" s="1"/>
  <c r="D15" i="3"/>
  <c r="E9" i="3"/>
  <c r="C14" i="3"/>
  <c r="D15" i="5" s="1"/>
  <c r="K8" i="3"/>
  <c r="F20" i="3"/>
  <c r="G21" i="5" s="1"/>
  <c r="J8" i="3"/>
  <c r="J9" i="5" s="1"/>
  <c r="J14" i="3"/>
  <c r="J15" i="5" s="1"/>
  <c r="I8" i="3"/>
  <c r="D14" i="3"/>
  <c r="H8" i="3"/>
  <c r="H9" i="5" s="1"/>
  <c r="H14" i="3"/>
  <c r="H15" i="5" s="1"/>
  <c r="F8" i="3"/>
  <c r="E20" i="3"/>
  <c r="F21" i="5" s="1"/>
  <c r="K14" i="3"/>
  <c r="K15" i="5" s="1"/>
  <c r="E8" i="3"/>
  <c r="D8" i="3"/>
  <c r="C8" i="3"/>
  <c r="K20" i="3"/>
  <c r="K21" i="5" s="1"/>
  <c r="E14" i="3"/>
  <c r="F15" i="5" s="1"/>
  <c r="J20" i="3"/>
  <c r="J21" i="5" s="1"/>
  <c r="C20" i="3"/>
  <c r="D21" i="5" s="1"/>
  <c r="I14" i="3"/>
  <c r="I20" i="3"/>
  <c r="H20" i="3"/>
  <c r="H21" i="5" s="1"/>
  <c r="D20" i="3"/>
  <c r="F14" i="3"/>
  <c r="G15" i="5" s="1"/>
  <c r="D24" i="8"/>
  <c r="E24" i="5"/>
  <c r="S24" i="5" s="1"/>
  <c r="D10" i="1"/>
  <c r="E12" i="8"/>
  <c r="D35" i="8"/>
  <c r="I12" i="5"/>
  <c r="C22" i="3"/>
  <c r="D23" i="5" s="1"/>
  <c r="C10" i="3"/>
  <c r="K16" i="3"/>
  <c r="K17" i="5" s="1"/>
  <c r="J16" i="3"/>
  <c r="J17" i="5" s="1"/>
  <c r="K22" i="3"/>
  <c r="K23" i="5" s="1"/>
  <c r="I16" i="3"/>
  <c r="H16" i="3"/>
  <c r="H17" i="5" s="1"/>
  <c r="J22" i="3"/>
  <c r="J23" i="5" s="1"/>
  <c r="H22" i="3"/>
  <c r="H23" i="5" s="1"/>
  <c r="F16" i="3"/>
  <c r="G17" i="5" s="1"/>
  <c r="E16" i="3"/>
  <c r="F17" i="5" s="1"/>
  <c r="D16" i="3"/>
  <c r="K10" i="3"/>
  <c r="C16" i="3"/>
  <c r="D17" i="5" s="1"/>
  <c r="E10" i="3"/>
  <c r="F22" i="3"/>
  <c r="G23" i="5" s="1"/>
  <c r="I22" i="3"/>
  <c r="J10" i="3"/>
  <c r="J11" i="5" s="1"/>
  <c r="I10" i="3"/>
  <c r="H10" i="3"/>
  <c r="H11" i="5" s="1"/>
  <c r="F10" i="3"/>
  <c r="D22" i="3"/>
  <c r="D10" i="3"/>
  <c r="E22" i="3"/>
  <c r="F23" i="5" s="1"/>
  <c r="G103" i="8"/>
  <c r="C97" i="8"/>
  <c r="D12" i="5"/>
  <c r="C20" i="6"/>
  <c r="D18" i="8"/>
  <c r="E18" i="5"/>
  <c r="S18" i="5" s="1"/>
  <c r="G42" i="8"/>
  <c r="D97" i="8"/>
  <c r="D12" i="8"/>
  <c r="C10" i="1"/>
  <c r="E12" i="5"/>
  <c r="S12" i="5" s="1"/>
  <c r="D20" i="6"/>
  <c r="C35" i="8"/>
  <c r="E24" i="8"/>
  <c r="I24" i="5"/>
  <c r="E97" i="8"/>
  <c r="E20" i="6"/>
  <c r="F12" i="5"/>
  <c r="G12" i="5"/>
  <c r="C112" i="8"/>
  <c r="F20" i="6"/>
  <c r="D89" i="8"/>
  <c r="F97" i="8"/>
  <c r="K12" i="5"/>
  <c r="D112" i="8"/>
  <c r="E89" i="8"/>
  <c r="F41" i="8"/>
  <c r="E18" i="8"/>
  <c r="I18" i="5"/>
  <c r="E95" i="8" l="1"/>
  <c r="E18" i="6"/>
  <c r="F10" i="5"/>
  <c r="D7" i="6"/>
  <c r="I15" i="5"/>
  <c r="E15" i="8"/>
  <c r="E10" i="8"/>
  <c r="I10" i="5"/>
  <c r="D8" i="1"/>
  <c r="D33" i="8"/>
  <c r="E19" i="6"/>
  <c r="F11" i="5"/>
  <c r="E96" i="8"/>
  <c r="E16" i="8"/>
  <c r="I16" i="5"/>
  <c r="E22" i="5"/>
  <c r="S22" i="5" s="1"/>
  <c r="D22" i="8"/>
  <c r="P18" i="8"/>
  <c r="X18" i="8"/>
  <c r="W18" i="8"/>
  <c r="V18" i="8"/>
  <c r="U18" i="8"/>
  <c r="T18" i="8"/>
  <c r="S18" i="8"/>
  <c r="R18" i="8"/>
  <c r="Q18" i="8"/>
  <c r="E7" i="6"/>
  <c r="E21" i="8"/>
  <c r="I21" i="5"/>
  <c r="E87" i="8"/>
  <c r="K10" i="5"/>
  <c r="D110" i="8"/>
  <c r="G9" i="5"/>
  <c r="D86" i="8"/>
  <c r="F17" i="6"/>
  <c r="C109" i="8"/>
  <c r="F94" i="8"/>
  <c r="E17" i="5"/>
  <c r="S17" i="5" s="1"/>
  <c r="D17" i="8"/>
  <c r="F9" i="5"/>
  <c r="E17" i="6"/>
  <c r="E94" i="8"/>
  <c r="I23" i="5"/>
  <c r="E23" i="8"/>
  <c r="E88" i="8"/>
  <c r="D111" i="8"/>
  <c r="K11" i="5"/>
  <c r="I10" i="1"/>
  <c r="K10" i="1"/>
  <c r="J10" i="1"/>
  <c r="D6" i="6"/>
  <c r="E15" i="5"/>
  <c r="S15" i="5" s="1"/>
  <c r="D15" i="8"/>
  <c r="E6" i="6"/>
  <c r="D21" i="8"/>
  <c r="E21" i="5"/>
  <c r="S21" i="5" s="1"/>
  <c r="C19" i="6"/>
  <c r="D11" i="5"/>
  <c r="C96" i="8"/>
  <c r="C7" i="6"/>
  <c r="I9" i="5"/>
  <c r="E9" i="8"/>
  <c r="D7" i="1"/>
  <c r="D32" i="8"/>
  <c r="E17" i="8"/>
  <c r="I17" i="5"/>
  <c r="D19" i="6"/>
  <c r="E11" i="5"/>
  <c r="S11" i="5" s="1"/>
  <c r="C34" i="8"/>
  <c r="D96" i="8"/>
  <c r="D11" i="8"/>
  <c r="C9" i="1"/>
  <c r="I22" i="5"/>
  <c r="E22" i="8"/>
  <c r="C32" i="8"/>
  <c r="E9" i="5"/>
  <c r="S9" i="5" s="1"/>
  <c r="C6" i="6"/>
  <c r="D9" i="8"/>
  <c r="C7" i="1"/>
  <c r="D17" i="6"/>
  <c r="D94" i="8"/>
  <c r="C110" i="8"/>
  <c r="F18" i="6"/>
  <c r="D87" i="8"/>
  <c r="F95" i="8"/>
  <c r="G10" i="5"/>
  <c r="S89" i="8"/>
  <c r="P89" i="8"/>
  <c r="Q89" i="8"/>
  <c r="R89" i="8"/>
  <c r="T89" i="8"/>
  <c r="X89" i="8"/>
  <c r="W89" i="8"/>
  <c r="V89" i="8"/>
  <c r="U89" i="8"/>
  <c r="D23" i="8"/>
  <c r="E23" i="5"/>
  <c r="S23" i="5" s="1"/>
  <c r="D95" i="8"/>
  <c r="C8" i="1"/>
  <c r="D18" i="6"/>
  <c r="D10" i="8"/>
  <c r="C33" i="8"/>
  <c r="E10" i="5"/>
  <c r="S10" i="5" s="1"/>
  <c r="E16" i="5"/>
  <c r="S16" i="5" s="1"/>
  <c r="D16" i="8"/>
  <c r="D9" i="5"/>
  <c r="C94" i="8"/>
  <c r="C17" i="6"/>
  <c r="K9" i="5"/>
  <c r="E86" i="8"/>
  <c r="D109" i="8"/>
  <c r="R12" i="8"/>
  <c r="W12" i="8"/>
  <c r="V12" i="8"/>
  <c r="T12" i="8"/>
  <c r="S12" i="8"/>
  <c r="Q12" i="8"/>
  <c r="P12" i="8"/>
  <c r="U12" i="8"/>
  <c r="X12" i="8"/>
  <c r="G11" i="5"/>
  <c r="D88" i="8"/>
  <c r="F19" i="6"/>
  <c r="C111" i="8"/>
  <c r="F96" i="8"/>
  <c r="D34" i="8"/>
  <c r="E11" i="8"/>
  <c r="D9" i="1"/>
  <c r="I11" i="5"/>
  <c r="R24" i="8"/>
  <c r="V24" i="8"/>
  <c r="T24" i="8"/>
  <c r="S24" i="8"/>
  <c r="Q24" i="8"/>
  <c r="P24" i="8"/>
  <c r="W24" i="8"/>
  <c r="U24" i="8"/>
  <c r="X24" i="8"/>
  <c r="C95" i="8"/>
  <c r="C18" i="6"/>
  <c r="D10" i="5"/>
  <c r="U23" i="8" l="1"/>
  <c r="T23" i="8"/>
  <c r="S23" i="8"/>
  <c r="Q23" i="8"/>
  <c r="P23" i="8"/>
  <c r="X23" i="8"/>
  <c r="W23" i="8"/>
  <c r="V23" i="8"/>
  <c r="R23" i="8"/>
  <c r="K9" i="1"/>
  <c r="J9" i="1"/>
  <c r="I9" i="1"/>
  <c r="V22" i="8"/>
  <c r="S22" i="8"/>
  <c r="R22" i="8"/>
  <c r="Q22" i="8"/>
  <c r="X22" i="8"/>
  <c r="W22" i="8"/>
  <c r="U22" i="8"/>
  <c r="T22" i="8"/>
  <c r="P22" i="8"/>
  <c r="P86" i="8"/>
  <c r="X86" i="8"/>
  <c r="W86" i="8"/>
  <c r="V86" i="8"/>
  <c r="U86" i="8"/>
  <c r="T86" i="8"/>
  <c r="S86" i="8"/>
  <c r="R86" i="8"/>
  <c r="Q86" i="8"/>
  <c r="X17" i="8"/>
  <c r="W17" i="8"/>
  <c r="V17" i="8"/>
  <c r="U17" i="8"/>
  <c r="T17" i="8"/>
  <c r="S17" i="8"/>
  <c r="R17" i="8"/>
  <c r="Q17" i="8"/>
  <c r="P17" i="8"/>
  <c r="K7" i="1"/>
  <c r="J7" i="1"/>
  <c r="I7" i="1"/>
  <c r="P9" i="8"/>
  <c r="S9" i="8"/>
  <c r="X9" i="8"/>
  <c r="W9" i="8"/>
  <c r="V9" i="8"/>
  <c r="U9" i="8"/>
  <c r="T9" i="8"/>
  <c r="R9" i="8"/>
  <c r="Q9" i="8"/>
  <c r="P21" i="8"/>
  <c r="S21" i="8"/>
  <c r="X21" i="8"/>
  <c r="W21" i="8"/>
  <c r="V21" i="8"/>
  <c r="U21" i="8"/>
  <c r="T21" i="8"/>
  <c r="R21" i="8"/>
  <c r="Q21" i="8"/>
  <c r="U15" i="8"/>
  <c r="V15" i="8"/>
  <c r="T15" i="8"/>
  <c r="S15" i="8"/>
  <c r="R15" i="8"/>
  <c r="Q15" i="8"/>
  <c r="P15" i="8"/>
  <c r="X15" i="8"/>
  <c r="W15" i="8"/>
  <c r="S87" i="8"/>
  <c r="P87" i="8"/>
  <c r="X87" i="8"/>
  <c r="W87" i="8"/>
  <c r="V87" i="8"/>
  <c r="U87" i="8"/>
  <c r="T87" i="8"/>
  <c r="R87" i="8"/>
  <c r="Q87" i="8"/>
  <c r="I8" i="1"/>
  <c r="J8" i="1"/>
  <c r="K8" i="1"/>
  <c r="X16" i="8"/>
  <c r="W16" i="8"/>
  <c r="V16" i="8"/>
  <c r="U16" i="8"/>
  <c r="T16" i="8"/>
  <c r="S16" i="8"/>
  <c r="R16" i="8"/>
  <c r="Q16" i="8"/>
  <c r="P16" i="8"/>
  <c r="Q10" i="8"/>
  <c r="V10" i="8"/>
  <c r="X10" i="8"/>
  <c r="W10" i="8"/>
  <c r="R10" i="8"/>
  <c r="U10" i="8"/>
  <c r="T10" i="8"/>
  <c r="S10" i="8"/>
  <c r="P10" i="8"/>
  <c r="Q88" i="8"/>
  <c r="V88" i="8"/>
  <c r="P88" i="8"/>
  <c r="S88" i="8"/>
  <c r="R88" i="8"/>
  <c r="X88" i="8"/>
  <c r="W88" i="8"/>
  <c r="U88" i="8"/>
  <c r="T88" i="8"/>
  <c r="V11" i="8"/>
  <c r="S11" i="8"/>
  <c r="Q11" i="8"/>
  <c r="T11" i="8"/>
  <c r="R11" i="8"/>
  <c r="P11" i="8"/>
  <c r="U11" i="8"/>
  <c r="X11" i="8"/>
  <c r="W11" i="8"/>
</calcChain>
</file>

<file path=xl/sharedStrings.xml><?xml version="1.0" encoding="utf-8"?>
<sst xmlns="http://schemas.openxmlformats.org/spreadsheetml/2006/main" count="745" uniqueCount="392">
  <si>
    <t>LI Gas vs Offshore Wind + BESS — LCOE Summary Dashboard</t>
  </si>
  <si>
    <t>Northport | E.F. Barrett | Port Jefferson  |  20-Year Horizon  |  Gas CC with/without NYCI Carbon Tax  |  OSW Standalone (NREL)  |  OSW + 4-hr BESS</t>
  </si>
  <si>
    <t>20-Year LCOE by Gas Scenario — All Technologies ($/MWh)</t>
  </si>
  <si>
    <t>Gas Scenario</t>
  </si>
  <si>
    <t>Gas CC
+Carbon</t>
  </si>
  <si>
    <t>Gas CC
No Carbon</t>
  </si>
  <si>
    <t>OSW
Standalone</t>
  </si>
  <si>
    <t>OSW+BESS
Lo $300/kWh</t>
  </si>
  <si>
    <t>OSW+BESS
Mid $350/kWh</t>
  </si>
  <si>
    <t>OSW+BESS
Hi $400/kWh</t>
  </si>
  <si>
    <t>Δ Gas-OSW
(+Gas more exp.)</t>
  </si>
  <si>
    <t>Δ Gas-BESS Mid
(+Gas more exp.)</t>
  </si>
  <si>
    <t>Winner
(20yr baseline)</t>
  </si>
  <si>
    <t>① Baseline ~$4.50/MMBtu (1x)</t>
  </si>
  <si>
    <t>② Doubled ~$9.00/MMBtu (2x)</t>
  </si>
  <si>
    <t>③ Tripled ~$13.50/MMBtu (3x)</t>
  </si>
  <si>
    <t>④ Quadrupled ~$18.00/MMBtu (4x)</t>
  </si>
  <si>
    <t>KEY OBSERVATIONS</t>
  </si>
  <si>
    <t>Carbon Tax Impact</t>
  </si>
  <si>
    <t>NYCI carbon adds ~$34/MWh to 10-yr LCOE (5%/yr escalation from $25/ST). Over 40 years the cumulative carbon liability doubles the difference between gas and OSW.</t>
  </si>
  <si>
    <t>OSW Standalone vs Gas CC</t>
  </si>
  <si>
    <t>Without BESS, OSW NREL LCOE (~$152/MWh at 20yr) exceeds gas CC at baseline gas by ~$20/MWh. Gas CC breaks even with OSW standalone at approximately 2× current gas prices over 20 years.</t>
  </si>
  <si>
    <t>OSW + BESS Cost Premium</t>
  </si>
  <si>
    <t>Adding 4-hour BESS to firm OSW to gas CC nameplate adds $93–124/MWh at 20-yr horizon (Northport scale). OSW+BESS at $350/kWh BESS mid = ~$224/MWh; gas CC w/carbon at 1× gas = ~$132/MWh.</t>
  </si>
  <si>
    <t>Break-Even Gas Price for OSW+BESS</t>
  </si>
  <si>
    <t>Gas CC w/carbon would need gas prices of ~3.5–4× baseline ($15–18/MMBtu delivered LI) to match OSW+BESS mid LCOE at 20 years. At 4× gas ($18/MMBtu) gas CC ≈ $232/MWh, OSW+BESS mid ≈ $224/MWh — near parity.</t>
  </si>
  <si>
    <t>No-Carbon Tax Scenario</t>
  </si>
  <si>
    <t>Without any carbon price, gas CC is $100–180/MWh cheaper than OSW+BESS at all gas price scenarios. Carbon pricing is essential to the OSW+BESS business case at current BESS costs.</t>
  </si>
  <si>
    <t>BESS Cost Sensitivity</t>
  </si>
  <si>
    <t>A $100/kWh reduction in BESS CapEx (high→low, $400→$300) reduces OSW+BESS LCOE by ~$28/MWh. NREL ATB projects BESS costs at $150–200/kWh by 2035, which would reduce the BESS premium by ~$57–86/MWh.</t>
  </si>
  <si>
    <t>Long Island Gas Plants vs NY Offshore Wind + BESS — LCOE Model Assumptions</t>
  </si>
  <si>
    <t>CC Repowering: Northport, E.F. Barrett, Port Jefferson  |  4 Gas Price Scenarios  |  10/20/30/40-Year LCOE Horizons  |  OSW + BESS Dispatchability Sizing  |  With / Without Carbon Tax</t>
  </si>
  <si>
    <t>Category</t>
  </si>
  <si>
    <t>Parameter</t>
  </si>
  <si>
    <t>Value</t>
  </si>
  <si>
    <t>Unit</t>
  </si>
  <si>
    <t>Source / Notes</t>
  </si>
  <si>
    <t>Gas Prices (LI Delivered)</t>
  </si>
  <si>
    <t>Henry Hub Baseline (2025 avg)</t>
  </si>
  <si>
    <t>$/MMBtu</t>
  </si>
  <si>
    <t>EIA Henry Hub 2025 annual average = $3.52/MMBtu. Source: EIA</t>
  </si>
  <si>
    <t>Transco Zone 6 NY Basis Premium</t>
  </si>
  <si>
    <t>LI delivered premium over HH. Avg Transco Z6 NY 2024-25. Source: EIA, Argus</t>
  </si>
  <si>
    <t>LI Baseline Delivered Gas Price</t>
  </si>
  <si>
    <t xml:space="preserve"> = D6 + D7 (HH + LI basis). Used as Scenario 1 baseline</t>
  </si>
  <si>
    <t>Scenario 1 — Baseline (1x)</t>
  </si>
  <si>
    <t xml:space="preserve"> = D8  (reference)</t>
  </si>
  <si>
    <t>Scenario 2 — Doubled (2x)</t>
  </si>
  <si>
    <t xml:space="preserve"> = D8 * 2</t>
  </si>
  <si>
    <t>Scenario 3 — Tripled (3x)</t>
  </si>
  <si>
    <t xml:space="preserve"> = D8 * 3</t>
  </si>
  <si>
    <t>Scenario 4 — Quadrupled (4x)</t>
  </si>
  <si>
    <t xml:space="preserve"> = D8 * 4</t>
  </si>
  <si>
    <t>Gas Price Escalation Rate</t>
  </si>
  <si>
    <t>decimal</t>
  </si>
  <si>
    <t>2%/yr long-run gas price escalation assumption. Source: EIA AEO 2025</t>
  </si>
  <si>
    <t>Northport Power Station</t>
  </si>
  <si>
    <t>Existing Steam Capacity (MW)</t>
  </si>
  <si>
    <t>MW</t>
  </si>
  <si>
    <t>4 units x 387 MW. Source: EIA Form 860, GEM Wiki</t>
  </si>
  <si>
    <t>Existing Heat Rate (Btu/kWh)</t>
  </si>
  <si>
    <t>Btu/kWh</t>
  </si>
  <si>
    <t>~10,800 Btu/kWh for aging steam units. Source: EIA Form 923 / LIPA 2020 study</t>
  </si>
  <si>
    <t>Existing CF (approx)</t>
  </si>
  <si>
    <t>~15% recent CF as peaker dispatch. Source: LIPA 2020 Repowering Study</t>
  </si>
  <si>
    <t>Repowered CC Capacity (MW)</t>
  </si>
  <si>
    <t>LIPA 2020 study: 4×387 MW steam → 2×600 MW H-class CCGT = 1,200 MW</t>
  </si>
  <si>
    <t>CC Heat Rate (Btu/kWh)</t>
  </si>
  <si>
    <t>Modern H-class CCGT. Source: GE/Siemens H-class specs, NREL ATB 2025</t>
  </si>
  <si>
    <t>CC CapEx ($/kW)</t>
  </si>
  <si>
    <t>$/kW</t>
  </si>
  <si>
    <t>$2,200/kW for LI repowering (brownfield premium). Source: LIPA 2020, NREL ATB</t>
  </si>
  <si>
    <t>Total CC CapEx ($M)</t>
  </si>
  <si>
    <t>$M</t>
  </si>
  <si>
    <t xml:space="preserve"> = D14/1000*D12*1000  ($/kW * MW * 1000 kW/MW / 1000 = $M)</t>
  </si>
  <si>
    <t>CC Capacity Factor</t>
  </si>
  <si>
    <t>35% CF for LI baseload dispatch. Source: LIPA operating data</t>
  </si>
  <si>
    <t>Fixed O&amp;M ($/kW-yr)</t>
  </si>
  <si>
    <t>$/kW-yr</t>
  </si>
  <si>
    <t>Typical CCGT fixed O&amp;M. Source: NREL ATB 2025</t>
  </si>
  <si>
    <t>Variable O&amp;M ($/MWh)</t>
  </si>
  <si>
    <t>$/MWh</t>
  </si>
  <si>
    <t>Typical CCGT variable O&amp;M. Source: NREL ATB 2025</t>
  </si>
  <si>
    <t>E.F. Barrett Power Station</t>
  </si>
  <si>
    <t>2 units x 188 MW steam + GTs. Source: EIA Form 860, GridInfo</t>
  </si>
  <si>
    <t>~11,500 Btu/kWh steam units 1956-1963 vintage. Source: EIA Form 923</t>
  </si>
  <si>
    <t>1 CCGT unit replacing steam &amp; GTs. Source: EENEWS/National Grid Ventures 2025</t>
  </si>
  <si>
    <t>$2,300/kW (tighter site constraints, oceanfront). Source: LIPA estimates</t>
  </si>
  <si>
    <t xml:space="preserve"> = D23/1000*D21*1000</t>
  </si>
  <si>
    <t>35% CF. Source: LIPA operating data</t>
  </si>
  <si>
    <t>Port Jefferson Power Station</t>
  </si>
  <si>
    <t>2 units x 188 MW steam. Source: EIA Form 860, GridInfo</t>
  </si>
  <si>
    <t>~12,000 Btu/kWh. Oldest units (1958-1960). Source: EIA Form 923</t>
  </si>
  <si>
    <t>~400 MW CCGT. Source: LIPA 2017 Port Jefferson Repowering Study</t>
  </si>
  <si>
    <t>Modern H-class CCGT. Source: GE/Siemens specs, NREL ATB 2025</t>
  </si>
  <si>
    <t>$2,200/kW. Source: LIPA 2017 study</t>
  </si>
  <si>
    <t xml:space="preserve"> = D32/1000*D30*1000</t>
  </si>
  <si>
    <t>NYCI Carbon Tax</t>
  </si>
  <si>
    <t>CO2 Emission Factor (kg/MMBtu)</t>
  </si>
  <si>
    <t>kg CO2/MMBtu</t>
  </si>
  <si>
    <t>Natural gas combustion. Source: EPA GHG Inventory CH4+CO2 combined</t>
  </si>
  <si>
    <t>NYCI Year 1 Price ($/short ton)</t>
  </si>
  <si>
    <t>$/short ton</t>
  </si>
  <si>
    <t>RGGI Q1 2026 clearing price. Source: RGGI Inc. Q1 2026 auction results</t>
  </si>
  <si>
    <t>NYCI Price Escalation</t>
  </si>
  <si>
    <t>5%/yr assumed escalation reflecting increasing carbon stringency under CLCPA</t>
  </si>
  <si>
    <t>Short Ton to MT Conversion</t>
  </si>
  <si>
    <t>MT/short ton</t>
  </si>
  <si>
    <t>1 short ton = 0.907185 metric tons</t>
  </si>
  <si>
    <t>NYCI Year 1 (converted, $/ST×MT/ST)</t>
  </si>
  <si>
    <t>$/MT CO2</t>
  </si>
  <si>
    <t xml:space="preserve"> = D38 * D40  (internal cross-check only; main calc uses $/short-ton directly)</t>
  </si>
  <si>
    <t>Financial</t>
  </si>
  <si>
    <t>WACC (Discount Rate)</t>
  </si>
  <si>
    <t>8% WACC. Typical regulated utility / merchant power in NY. Source: LIPA IRP</t>
  </si>
  <si>
    <t>Midlife CapEx Refresh (% of initial)</t>
  </si>
  <si>
    <t>20% of CapEx at year 15 — major overhaul / hot section replacement for CCGT</t>
  </si>
  <si>
    <t>Offshore Wind (NY)</t>
  </si>
  <si>
    <t>Empire Wind 1 OREC Strike Price</t>
  </si>
  <si>
    <t>25-yr OREC contracted June 2024. Source: NYSERDA/Equinor PSA announcement</t>
  </si>
  <si>
    <t>Sunrise Wind OREC Strike Price</t>
  </si>
  <si>
    <t>25-yr OREC contracted May 2024. Source: NYSERDA/Orsted PSA announcement</t>
  </si>
  <si>
    <t>NREL 2025 LCOE (East Coast fixed-bottom)</t>
  </si>
  <si>
    <t>NREL Offshore Wind LCOE study 2025 (fy24osti/88988). COD 2025, mid scenario</t>
  </si>
  <si>
    <t>OSW CapEx ($/kW)</t>
  </si>
  <si>
    <t>~$5.5M/kW for NY OSW projects 2024-2025. Source: South Shore Press / NYSERDA</t>
  </si>
  <si>
    <t>OSW Fixed O&amp;M ($/kW-yr)</t>
  </si>
  <si>
    <t>Typical offshore wind. Source: NREL Cost of Wind Energy Review 2024</t>
  </si>
  <si>
    <t>OSW Capacity Factor (net)</t>
  </si>
  <si>
    <t>42% net CF for NY offshore sites. Source: NREL, NYSERDA project data</t>
  </si>
  <si>
    <t>OSW Plant Life</t>
  </si>
  <si>
    <t>years</t>
  </si>
  <si>
    <t>Standard contract/design life for offshore wind. OREC contracts are 25-yr</t>
  </si>
  <si>
    <t>OSW Reference Capacity (MW)</t>
  </si>
  <si>
    <t>~924 MW (Sunrise Wind) / ~810 MW (Empire Wind 1) — use 900 MW blended reference</t>
  </si>
  <si>
    <t>OSW Transmission / Grid Connection ($M)</t>
  </si>
  <si>
    <t>Offshore cable, onshore interconnection to LIPA Holbrook substation. Est. per NYSERDA</t>
  </si>
  <si>
    <t>OSW Future LCOE (2035, NREL mid)</t>
  </si>
  <si>
    <t>NREL 2025 study: ~$79/MWh for East Coast fixed-bottom by 2035 (39% cost reduction)</t>
  </si>
  <si>
    <t>OSW LCOE Annual Escalation (O&amp;M only)</t>
  </si>
  <si>
    <t>O&amp;M costs escalate ~2%/yr; CapEx is sunk. Used for levelizing beyond 25-yr horizon</t>
  </si>
  <si>
    <t>Battery Storage (BESS)</t>
  </si>
  <si>
    <t>BESS Duration (hours)</t>
  </si>
  <si>
    <t>hours</t>
  </si>
  <si>
    <t>4-hour BESS = NYISO ICAP market standard for capacity resource qualification</t>
  </si>
  <si>
    <t>BESS CapEx — Low ($/kWh)</t>
  </si>
  <si>
    <t>$/kWh</t>
  </si>
  <si>
    <t>$300/kWh — 2025 utility-scale Li-ion low estimate. Source: NREL ATB 2025, BloombergNEF</t>
  </si>
  <si>
    <t>BESS CapEx — Mid ($/kWh)</t>
  </si>
  <si>
    <t>$350/kWh — 2025 utility-scale Li-ion mid estimate. Source: NREL ATB 2025, BloombergNEF</t>
  </si>
  <si>
    <t>BESS CapEx — High ($/kWh)</t>
  </si>
  <si>
    <t>$400/kWh — 2025 utility-scale Li-ion high estimate. Source: NREL ATB 2025, Wood Mackenzie</t>
  </si>
  <si>
    <t>BESS ITC (Investment Tax Credit)</t>
  </si>
  <si>
    <t>30% ITC under Inflation Reduction Act (IRA). Applies to standalone storage ≥3hr</t>
  </si>
  <si>
    <t>BESS Augmentation (% of CapEx, Yr 6)</t>
  </si>
  <si>
    <t>50% of initial $/kWh at Year 6 for capacity augmentation (cell degradation). Source: NREL</t>
  </si>
  <si>
    <t>BESS Fixed O&amp;M ($/kW-yr)</t>
  </si>
  <si>
    <t>$10/kW-yr on power rating. Source: NREL ATB 2025 storage O&amp;M</t>
  </si>
  <si>
    <t>BESS Sizing Method</t>
  </si>
  <si>
    <t>OSW MW sized to match gas CC annual MWh (= CC_MW * CC_CF / OSW_CF). BESS_MWh = CC_MW * BESS_hours</t>
  </si>
  <si>
    <t>Sources: EIA Henry Hub 2025, Argus Transco Zone 6 NY, LIPA 2020 Northport Repowering Study, LIPA 2017 Port Jefferson Study, E&amp;E News/National Grid Ventures (2025), NREL ATB 2025, NREL Offshore Wind LCOE 2025 (fy24osti/88988), NREL Cost of Wind Energy Review 2024, NYSERDA OREC PSAs (2024), RGGI Q1 2026, BloombergNEF BESS Cost Survey 2025, Wood Mackenzie BESS Outlook 2025. Model generated April 24, 2026.</t>
  </si>
  <si>
    <t>Retooled Combined Cycle LCOE — Long Island Gas Plants ($/MWh)</t>
  </si>
  <si>
    <t>Northport | E.F. Barrett | Port Jefferson  |  CC Repowering at $2,200–$2,300/kW  |  6,300 Btu/kWh heat rate  |  35% CF  |  8% WACC  |  Columns C–F = WITH NYCI Carbon Tax  |  Columns H–K = WITHOUT Carbon Tax</t>
  </si>
  <si>
    <t>Gas Price Scenario</t>
  </si>
  <si>
    <t>WITH NYCI Carbon Tax ($/MWh)</t>
  </si>
  <si>
    <t>WITHOUT Carbon Tax ($/MWh)</t>
  </si>
  <si>
    <t>Scenario / Metric</t>
  </si>
  <si>
    <t>10-Year</t>
  </si>
  <si>
    <t>20-Year</t>
  </si>
  <si>
    <t>30-Year</t>
  </si>
  <si>
    <t>40-Year</t>
  </si>
  <si>
    <t>↓ No Carbon →</t>
  </si>
  <si>
    <t>● Northport CC</t>
  </si>
  <si>
    <t>● E.F. Barrett CC</t>
  </si>
  <si>
    <t>● Port Jefferson CC</t>
  </si>
  <si>
    <t>LCOE formula: PV(CapEx + Midlife refresh + FOM + VOM + Fuel [± NYCI Carbon Tax]) / PV(Energy). WACC 8%. Fuel escalates 2%/yr. Carbon (NYCI) escalates 5%/yr starting $25/short ton. Midlife CapEx (20% of initial) at Year 15 if horizon ≥16 yr. LI delivered gas = HH + Transco Z6 NY basis (~$0.98/MMBtu). Columns H–K exclude carbon tax to show fuel-only cost competitiveness.</t>
  </si>
  <si>
    <t>NY Offshore Wind LCOE — Standalone &amp; With Battery Storage (OSW + BESS) ($/MWh)</t>
  </si>
  <si>
    <t>OREC contracts: Empire Wind 1 ($155/MWh) | Sunrise Wind ($146/MWh)  |  NREL bottom-up LCOE (2025)  |  BESS sized to match gas CC nameplate MW (4-hr, ITC-adjusted)  |  No fuel cost, no carbon tax</t>
  </si>
  <si>
    <t>Section 1 — OREC Contract-Based LCOE (Fixed 25-Year Strike Price)</t>
  </si>
  <si>
    <t>Project</t>
  </si>
  <si>
    <t>OREC Strike Price
($/MWh)</t>
  </si>
  <si>
    <t>Capacity (MW)</t>
  </si>
  <si>
    <t>25-yr Levelized
$/MWh</t>
  </si>
  <si>
    <t>Key Notes</t>
  </si>
  <si>
    <t>Empire Wind 1 (Equinor)</t>
  </si>
  <si>
    <t>25-yr OREC signed June 2024 @ $155/MWh. Source: NYSERDA/Equinor PSA. $3B+ project financing closed Jan 2025.</t>
  </si>
  <si>
    <t>Sunrise Wind (Orsted)</t>
  </si>
  <si>
    <t>25-yr OREC signed May 2024 @ $146/MWh (27% above original $110.37/MWh 2018 contract). Source: NYSERDA/Orsted.</t>
  </si>
  <si>
    <t>Blended NY OSW (weighted avg)</t>
  </si>
  <si>
    <t>Capacity-weighted average of contracted OREC prices for the two active LI-area projects.</t>
  </si>
  <si>
    <t>NREL Bottom-Up LCOE (2025, mid scenario)</t>
  </si>
  <si>
    <t>NREL fy24osti/88988: East Coast fixed-bottom COD 2025 = $129/MWh (mid). Range: $93-$165/MWh.</t>
  </si>
  <si>
    <t>NREL LCOE Projection (2035, mid scenario)</t>
  </si>
  <si>
    <t>NREL projects ~39% cost reduction by 2035 = ~$79/MWh as industry matures and supply chains develop.</t>
  </si>
  <si>
    <t>Section 2 — Standalone OSW LCOE by Time Horizon ($/MWh, NREL Bottom-Up)</t>
  </si>
  <si>
    <t>Metric</t>
  </si>
  <si>
    <t>25-Year
(full life)</t>
  </si>
  <si>
    <t>30-Year
(+life ext)</t>
  </si>
  <si>
    <t>40-Year
(2nd wind)</t>
  </si>
  <si>
    <t>Annual Energy (MWh/yr)</t>
  </si>
  <si>
    <t>Annual O&amp;M Cost ($M/yr)</t>
  </si>
  <si>
    <t>NREL Bottom-Up CapEx ($M, 900 MW reference)</t>
  </si>
  <si>
    <t>OSW Standalone LCOE — O&amp;M Escalates 2%/yr ($/MWh)</t>
  </si>
  <si>
    <t>Memo: Life Extension CapEx (30% of initial, Yr 25)</t>
  </si>
  <si>
    <t>N/A</t>
  </si>
  <si>
    <t>OSW Standalone LCOE — With Life Extension at Yr 25 ($/MWh)</t>
  </si>
  <si>
    <t>Section 3 — OSW + BESS LCOE by Time Horizon ($/MWh) — Dispatchable to Gas CC Nameplate MW</t>
  </si>
  <si>
    <t>Plant / BESS Scenario</t>
  </si>
  <si>
    <t>OSW MW
Needed</t>
  </si>
  <si>
    <t>BESS MWh
(4-hr)</t>
  </si>
  <si>
    <t>BESS Gross
CapEx ($M)</t>
  </si>
  <si>
    <t>ITC (30%)
($M)</t>
  </si>
  <si>
    <t>BESS Net
CapEx ($M)</t>
  </si>
  <si>
    <t>● Northport CC — Gas CC 1,200 MW → OSW 1000 MW + BESS 4,800 MWh / 1,200 MW</t>
  </si>
  <si>
    <t>BESS Low ($300/kWh)</t>
  </si>
  <si>
    <t>OSW 1000MW+BESS 4,800MWh/1200MW. ITC-adjusted net BESS CapEx. Augmentation at Yr 6 (50% of $/kWh). OSW life ext at Yr 25 (30% CapEx). Energy basis = OSW output = gas CC equiv MWh.</t>
  </si>
  <si>
    <t>BESS Mid ($350/kWh)</t>
  </si>
  <si>
    <t>BESS High ($400/kWh)</t>
  </si>
  <si>
    <t>● E.F. Barrett CC — Gas CC 380 MW → OSW 317 MW + BESS 1,520 MWh / 380 MW</t>
  </si>
  <si>
    <t>OSW 317MW+BESS 1,520MWh/380MW. ITC-adjusted net BESS CapEx. Augmentation at Yr 6 (50% of $/kWh). OSW life ext at Yr 25 (30% CapEx). Energy basis = OSW output = gas CC equiv MWh.</t>
  </si>
  <si>
    <t>● Port Jefferson CC — Gas CC 400 MW → OSW 333 MW + BESS 1,600 MWh / 400 MW</t>
  </si>
  <si>
    <t>OSW 333MW+BESS 1,600MWh/400MW. ITC-adjusted net BESS CapEx. Augmentation at Yr 6 (50% of $/kWh). OSW life ext at Yr 25 (30% CapEx). Energy basis = OSW output = gas CC equiv MWh.</t>
  </si>
  <si>
    <t>OSW LCOE: PV(CapEx + O&amp;M escalating 2%/yr + Life extension at Yr 25) / PV(Energy) at 8% WACC. OSW+BESS LCOE: OSW sized to match gas CC annual MWh output (= CC_MW × 35% CF / 42% OSW CF). BESS sized for 4-hour duration at gas CC nameplate MW. ITC = 30% of BESS gross CapEx. BESS augmentation = 50% of net $/kWh at Year 6. BESS FOM = $10/kW-yr (power rating). Sources: NREL ATB 2025, NREL fy24osti/88988, BloombergNEF BESS Cost Survey 2025, NYISO ICAP rules.</t>
  </si>
  <si>
    <t>LCOE Crossover Analysis — Gas CC vs OSW Standalone vs OSW+BESS ($/MWh)</t>
  </si>
  <si>
    <t>4-way comparison at each horizon and gas price: Gas CC with carbon tax | Gas CC without carbon tax | OSW Standalone (NREL bottom-up) | OSW + BESS (4-hr, 3 CapEx scenarios).  Positive delta = gas is more expensive than OSW/OSW+BESS.</t>
  </si>
  <si>
    <t>Per-Plant LCOE Comparison — All Scenarios × All Horizons ($/MWh)</t>
  </si>
  <si>
    <t>Gas CC + Carbon Tax ($/MWh)</t>
  </si>
  <si>
    <t>Gas CC — No Carbon Tax ($/MWh)</t>
  </si>
  <si>
    <t>OSW Standalone (NREL, $/MWh)</t>
  </si>
  <si>
    <t>OSW+BESS 20-Yr LCOE ($/MWh)</t>
  </si>
  <si>
    <t>Plant</t>
  </si>
  <si>
    <t>10-Yr</t>
  </si>
  <si>
    <t>20-Yr</t>
  </si>
  <si>
    <t>30-Yr</t>
  </si>
  <si>
    <t>40-Yr</t>
  </si>
  <si>
    <t>BESS Lo
$300/kWh</t>
  </si>
  <si>
    <t>BESS Mid
$350/kWh</t>
  </si>
  <si>
    <t>BESS Hi
$400/kWh</t>
  </si>
  <si>
    <t>Verdict (20-yr baseline)</t>
  </si>
  <si>
    <t>Northport CC</t>
  </si>
  <si>
    <t>E.F. Barrett CC</t>
  </si>
  <si>
    <t>Port Jefferson CC</t>
  </si>
  <si>
    <t>Gas CC columns D-G = with NYCI carbon tax ($25/ST, 5%/yr escalation). Gas CC columns H-K = without any carbon tax (fuel + CapEx + O&amp;M only). OSW Standalone (L-O) = NREL bottom-up LCOE; no fuel, no carbon. OSW+BESS (P-R) = 20-year LCOE for dispatchable OSW at gas CC nameplate MW: OSW sized for energy parity (CC_MW × 35% CF / 42% OSW CF), BESS = 4hr × CC_MW. Verdict uses gas CC with carbon vs OSW+BESS mid at 20-year horizon. Positive delta = gas is more expensive than OSW/OSW+BESS.</t>
  </si>
  <si>
    <t>LI Gas Plants vs Offshore Wind — LCOE Visual Comparison</t>
  </si>
  <si>
    <t>Chart Data 1 — 20-Year LCOE Summary: All Plants × All Technologies (Baseline $4.50/MMBtu Gas)</t>
  </si>
  <si>
    <t>Technology</t>
  </si>
  <si>
    <t>Northport</t>
  </si>
  <si>
    <t>E.F. Barrett</t>
  </si>
  <si>
    <t>Port Jefferson</t>
  </si>
  <si>
    <t>OSW Standalone</t>
  </si>
  <si>
    <t>OSW+BESS Lo</t>
  </si>
  <si>
    <t>OSW+BESS Mid</t>
  </si>
  <si>
    <t>OSW+BESS Hi</t>
  </si>
  <si>
    <t>Gas CC + Carbon Tax</t>
  </si>
  <si>
    <t>Gas CC — No Carbon Tax</t>
  </si>
  <si>
    <t>OSW + BESS Low</t>
  </si>
  <si>
    <t>OSW + BESS Mid</t>
  </si>
  <si>
    <t>OSW + BESS High</t>
  </si>
  <si>
    <t>Chart Data 2 — Northport CC LCOE by Time Horizon × Gas Price Scenario vs OSW &amp; OSW+BESS</t>
  </si>
  <si>
    <t>Technology / Scenario</t>
  </si>
  <si>
    <t>Gas CC+Carbon — 1x gas</t>
  </si>
  <si>
    <t>Gas CC+Carbon — 2x gas</t>
  </si>
  <si>
    <t>Gas CC+Carbon — 3x gas</t>
  </si>
  <si>
    <t>Gas CC+Carbon — 4x gas</t>
  </si>
  <si>
    <t>OSW Standalone (NREL)</t>
  </si>
  <si>
    <t>OSW+BESS $300/kWh</t>
  </si>
  <si>
    <t>OSW+BESS $350/kWh</t>
  </si>
  <si>
    <t>OSW+BESS $400/kWh</t>
  </si>
  <si>
    <t>OSW + BESS LCOE Sensitivity — NYISO ICAP Duration: 4-Hour / 6-Hour / 8-Hour</t>
  </si>
  <si>
    <t>NYISO Duration Adjustment Factors (DAF): 4-hr = 90% ICAP (&lt;1,000 MW LI) / 75% (&gt;1,000 MW)  |  6-hr = 100% (&lt;1,000 MW) / 90% (&gt;1,000 MW)  |  8-hr = 100% at all penetration levels  |  BESS sized at gas CC nameplate MW × duration hours  |  30% ITC, 50% augmentation at Yr 6</t>
  </si>
  <si>
    <t>NYISO ICAP Accreditation — Duration Adjustment Factor (DAF) Table</t>
  </si>
  <si>
    <t>Duration</t>
  </si>
  <si>
    <t>DAF: LI &lt;1,000 MW
(current typical)</t>
  </si>
  <si>
    <t>DAF: LI &gt;1,000 MW
(high-penetration)</t>
  </si>
  <si>
    <t>Effective ICAP
(per MW, low-pen.)</t>
  </si>
  <si>
    <t>Effective ICAP
(per MW, high-pen.)</t>
  </si>
  <si>
    <t>PLW</t>
  </si>
  <si>
    <t>Rule Source</t>
  </si>
  <si>
    <t>4-Hour</t>
  </si>
  <si>
    <t>90% MW per installed MW</t>
  </si>
  <si>
    <t>75% MW per installed MW</t>
  </si>
  <si>
    <t>6-hr summer
8-hr winter</t>
  </si>
  <si>
    <t>Current NYISO tariff (May 2024). ESR Capacity Model 2023.</t>
  </si>
  <si>
    <t>6-Hour</t>
  </si>
  <si>
    <t>100% MW per installed MW</t>
  </si>
  <si>
    <t>100% DAF below 1,000 MW threshold. 90% above. NYISO CA Rules 2021.</t>
  </si>
  <si>
    <t>8-Hour</t>
  </si>
  <si>
    <t>8-hr (PLW shifts
when &gt;1,000 MW
duration-limited)</t>
  </si>
  <si>
    <t>Full accreditation at any penetration. 2025-26 DCR Final Report.</t>
  </si>
  <si>
    <t>● Northport CC — Gas CC 1,200 MW → OSW 1000 MW + BESS [1,200×dur] MWh / 1,200 MW dispatchable</t>
  </si>
  <si>
    <t>OSW + BESS LCOE by Horizon ($/MWh)</t>
  </si>
  <si>
    <t>BESS CapEx ($M, net of 30% ITC)</t>
  </si>
  <si>
    <t>Duration / BESS Scenario</t>
  </si>
  <si>
    <t>BESS MWh
(4/6/8 × MW)</t>
  </si>
  <si>
    <t>BESS Gross
$M</t>
  </si>
  <si>
    <t>ITC Savings
$M</t>
  </si>
  <si>
    <t>BESS Net
$M</t>
  </si>
  <si>
    <t xml:space="preserve">  4-Hour BESS  —  4,800 MWh total  (DAF: 90% &lt;1,000MW / 75% &gt;1,000MW)  — 4-hr: 90% DAF (&lt;1,000 MW LI penetration); 75% above. Current rule since May 2024 tariff.</t>
  </si>
  <si>
    <t xml:space="preserve">    4hr / Low  $300/kWh</t>
  </si>
  <si>
    <t xml:space="preserve">    4hr / Mid  $350/kWh</t>
  </si>
  <si>
    <t xml:space="preserve">    4hr / High $400/kWh</t>
  </si>
  <si>
    <t xml:space="preserve">  6-Hour BESS  —  7,200 MWh total  (DAF: 100% &lt;1,000MW / 90% &gt;1,000MW)  — 6-hr: 100% DAF (&lt;1,000 MW); 90% above. PLW shifts to 8-hr once 1,000 MW duration-limited installed.</t>
  </si>
  <si>
    <t xml:space="preserve">    6hr / Low  $300/kWh</t>
  </si>
  <si>
    <t xml:space="preserve">    6hr / Mid  $350/kWh</t>
  </si>
  <si>
    <t xml:space="preserve">    6hr / High $400/kWh</t>
  </si>
  <si>
    <t xml:space="preserve">  8-Hour BESS  —  9,600 MWh total  (DAF: 100% &lt;1,000MW / 100% &gt;1,000MW)  — 8-hr: 100% DAF at all penetration levels. Full ICAP accreditation under strictest PLW rules.</t>
  </si>
  <si>
    <t xml:space="preserve">    8hr / Low  $300/kWh</t>
  </si>
  <si>
    <t xml:space="preserve">    8hr / Mid  $350/kWh</t>
  </si>
  <si>
    <t xml:space="preserve">    8hr / High $400/kWh</t>
  </si>
  <si>
    <t>● E.F. Barrett CC — Gas CC 380 MW → OSW 317 MW + BESS [380×dur] MWh / 380 MW dispatchable</t>
  </si>
  <si>
    <t xml:space="preserve">  4-Hour BESS  —  1,520 MWh total  (DAF: 90% &lt;1,000MW / 75% &gt;1,000MW)  — 4-hr: 90% DAF (&lt;1,000 MW LI penetration); 75% above. Current rule since May 2024 tariff.</t>
  </si>
  <si>
    <t xml:space="preserve">  6-Hour BESS  —  2,280 MWh total  (DAF: 100% &lt;1,000MW / 90% &gt;1,000MW)  — 6-hr: 100% DAF (&lt;1,000 MW); 90% above. PLW shifts to 8-hr once 1,000 MW duration-limited installed.</t>
  </si>
  <si>
    <t xml:space="preserve">  8-Hour BESS  —  3,040 MWh total  (DAF: 100% &lt;1,000MW / 100% &gt;1,000MW)  — 8-hr: 100% DAF at all penetration levels. Full ICAP accreditation under strictest PLW rules.</t>
  </si>
  <si>
    <t>● Port Jefferson CC — Gas CC 400 MW → OSW 333 MW + BESS [400×dur] MWh / 400 MW dispatchable</t>
  </si>
  <si>
    <t xml:space="preserve">  4-Hour BESS  —  1,600 MWh total  (DAF: 90% &lt;1,000MW / 75% &gt;1,000MW)  — 4-hr: 90% DAF (&lt;1,000 MW LI penetration); 75% above. Current rule since May 2024 tariff.</t>
  </si>
  <si>
    <t xml:space="preserve">  6-Hour BESS  —  2,400 MWh total  (DAF: 100% &lt;1,000MW / 90% &gt;1,000MW)  — 6-hr: 100% DAF (&lt;1,000 MW); 90% above. PLW shifts to 8-hr once 1,000 MW duration-limited installed.</t>
  </si>
  <si>
    <t xml:space="preserve">  8-Hour BESS  —  3,200 MWh total  (DAF: 100% &lt;1,000MW / 100% &gt;1,000MW)  — 8-hr: 100% DAF at all penetration levels. Full ICAP accreditation under strictest PLW rules.</t>
  </si>
  <si>
    <t>NYISO ICAP Duration Adjustment Factors: NYISO Capacity Accreditation Current Rules (Aug 2021); NYISO 2025/26 Demand Curve Reset Final Report (Oct 2024); NYISO ESR Capacity Model Tariff (2023). OSW+BESS LCOE: WACC 8%, O&amp;M escalates 2%/yr, life extension at Yr 25 (30% OSW CapEx), BESS augmentation at Yr 6 (50% of net $/kWh), BESS FOM $10/kW-yr on power rating. BESS sized at gas CC nameplate MW × duration hours. OSW sized for energy parity (CC_MW × 35%CF / 42%CF).</t>
  </si>
  <si>
    <t>BESS Duration Crossover — Gas CC vs OSW+BESS by Duration &amp; Gas Price ($/MWh delta, 20-year horizon)</t>
  </si>
  <si>
    <t>Δ = Gas CC LCOE − OSW+BESS LCOE at 20-year horizon.  Positive = Gas is more expensive than OSW+BESS.  Shows how the crossover shifts as BESS duration increases from 4hr to 8hr under stricter NYISO ICAP rules.  Gas CC shown with and without NYCI carbon tax.</t>
  </si>
  <si>
    <t>20-Year LCOE — Gas CC vs OSW+BESS by Duration &amp; Gas Price ($/MWh)</t>
  </si>
  <si>
    <t>Gas CC (20-yr LCOE)</t>
  </si>
  <si>
    <t>OSW+BESS 4-hr ($/MWh)</t>
  </si>
  <si>
    <t>OSW+BESS 6-hr ($/MWh)</t>
  </si>
  <si>
    <t>OSW+BESS 8-hr ($/MWh)</t>
  </si>
  <si>
    <t>Δ Gas+C − BESS 4hr</t>
  </si>
  <si>
    <t>Δ Gas+C − BESS 6hr</t>
  </si>
  <si>
    <t>Δ Gas+C − BESS 8hr</t>
  </si>
  <si>
    <t>Low
$300/kWh</t>
  </si>
  <si>
    <t>Mid
$350/kWh</t>
  </si>
  <si>
    <t>High
$400/kWh</t>
  </si>
  <si>
    <t>Δ Low</t>
  </si>
  <si>
    <t>Δ Mid</t>
  </si>
  <si>
    <t>Δ High</t>
  </si>
  <si>
    <t>① Baseline ~$4.50/MMBtu (1×)</t>
  </si>
  <si>
    <t>② Doubled  ~$9.00/MMBtu (2×)</t>
  </si>
  <si>
    <t>③ Tripled ~$13.50/MMBtu (3×)</t>
  </si>
  <si>
    <t>④ Quadrupled ~$18.00/MMBtu (4×)</t>
  </si>
  <si>
    <t>Δ = Gas CC LCOE (with NYCI carbon tax, 20-yr horizon) minus OSW+BESS LCOE (20-yr). Positive = gas is more expensive; negative = OSW+BESS is more expensive. Each additional 2 hours of BESS duration adds exactly [gas_MW × 2 × BESS_$/kWh × (1−ITC)] in net CapEx. For Northport: 2 extra hours = 2,400 MWh × $350/kWh × 70% net = $588M additional cost (~$16/MWh at 20yr). Sources: NYISO Capacity Accreditation Rules 2021; NYISO 2025/26 DCR Final Report (Oct 2024).</t>
  </si>
  <si>
    <t>Chart Data — Northport: Gas CC LCOE vs OSW+BESS by Duration (Mid $350/kWh BESS, 20-Year Horizon)</t>
  </si>
  <si>
    <t>OSW+BESS
4-hr</t>
  </si>
  <si>
    <t>OSW+BESS
6-hr</t>
  </si>
  <si>
    <t>OSW+BESS
8-hr</t>
  </si>
  <si>
    <t>LCOE Increment per Additional 2-Hour BESS Duration — Northport CC Scale</t>
  </si>
  <si>
    <t>BESS Scenario</t>
  </si>
  <si>
    <t>4-hr LCOE</t>
  </si>
  <si>
    <t>6-hr LCOE</t>
  </si>
  <si>
    <t>8-hr LCOE</t>
  </si>
  <si>
    <t>4hr→6hr
Increment</t>
  </si>
  <si>
    <t>6hr→8hr
Increment</t>
  </si>
  <si>
    <t>Low  $300/kWh</t>
  </si>
  <si>
    <t>Mid  $350/kWh</t>
  </si>
  <si>
    <t>High $400/kWh</t>
  </si>
  <si>
    <t>NYCI Carbon Tax Escalation Path — Why the 40-Year Horizon Changes the Crossover</t>
  </si>
  <si>
    <t>At 5%/yr escalation from $25/short ton (Yr 1), NYCI carbon reaches ~$90/ST by Yr 20 and ~$232/ST by Yr 40. For a CC plant at 6,300 Btu/kWh, this adds ~$14/MWh by Yr 20 but ~$37/MWh by Yr 40 — roughly doubling the carbon drag on Gas CC LCOE in the back half of the analysis period. OSW+BESS carries zero carbon cost at any duration.</t>
  </si>
  <si>
    <t>Year</t>
  </si>
  <si>
    <t>Yr 1</t>
  </si>
  <si>
    <t>Yr 5</t>
  </si>
  <si>
    <t>Yr 10</t>
  </si>
  <si>
    <t>Yr 15</t>
  </si>
  <si>
    <t>Yr 20</t>
  </si>
  <si>
    <t>Yr 25</t>
  </si>
  <si>
    <t>Yr 30</t>
  </si>
  <si>
    <t>Yr 35</t>
  </si>
  <si>
    <t>Yr 40</t>
  </si>
  <si>
    <t>$/MWh added
(CC, Yr 20)</t>
  </si>
  <si>
    <t>$/MWh added
(CC, Yr 40)</t>
  </si>
  <si>
    <t>NYCI $/short ton</t>
  </si>
  <si>
    <t>40-Year LCOE — Northport CC vs OSW+BESS by Duration &amp; Gas Price ($/MWh)</t>
  </si>
  <si>
    <t>Gas CC (40-yr LCOE)</t>
  </si>
  <si>
    <t xml:space="preserve"> 40-year horizon includes second life-extension at Yr 25 (30% additional OSW CapEx). Gas CC 40yr LCOE reflects full PV of fuel costs, NYCI carbon (5%/yr escalation), FOM, VOM, and midlife CapEx refresh at Yr 15 (20% of CapEx). WACC 8%.  OSW+BESS carries zero fuel cost and zero carbon tax at all durations.</t>
  </si>
  <si>
    <t>All-Horizon View — Northport CC vs OSW+BESS Mid $350/kWh BESS ($/MWh, With Carbon)</t>
  </si>
  <si>
    <t>Gas CC
+C 10yr</t>
  </si>
  <si>
    <t>Gas CC
+C 20yr</t>
  </si>
  <si>
    <t>Gas CC
+C 30yr</t>
  </si>
  <si>
    <t>Gas CC
+C 40yr</t>
  </si>
  <si>
    <t>OSW+BESS
4hr 10yr</t>
  </si>
  <si>
    <t>OSW+BESS
4hr 20yr</t>
  </si>
  <si>
    <t>OSW+BESS
4hr 30yr</t>
  </si>
  <si>
    <t>OSW+BESS
4hr 40yr</t>
  </si>
  <si>
    <t>OSW+BESS
6hr 20yr</t>
  </si>
  <si>
    <t>OSW+BESS
6hr 40yr</t>
  </si>
  <si>
    <t>OSW+BESS
8hr 20yr</t>
  </si>
  <si>
    <t>OSW+BESS
8hr 40yr</t>
  </si>
  <si>
    <t>LCOE Increment per Additional 2-Hour BESS Duration — Northport, 40-Year Horizon</t>
  </si>
  <si>
    <t>4-hr
LCOE (40yr)</t>
  </si>
  <si>
    <t>6-hr
LCOE (40yr)</t>
  </si>
  <si>
    <t>8-hr
LCOE (40yr)</t>
  </si>
  <si>
    <t>Low $300/kWh</t>
  </si>
  <si>
    <t>Mid $350/kWh</t>
  </si>
  <si>
    <t>Chart Data — Northport 40-Year: Gas CC vs OSW+BESS by Duration (Mid $350/kWh BESS)</t>
  </si>
  <si>
    <t xml:space="preserve"> Key finding: OSW+BESS carries constant LCOE across all gas scenarios (no fuel or carbon exposure). Gas CC LCOE rises by ~$33/MWh per gas-price doubling AND by the full compounded carbon burden. At 40yr with 3× gas (+carbon): Gas CC ≈$198, OSW+BESS 4hr Mid ≈$212 — gas still cheaper. At 4× gas: Gas CC ≈$234 vs OSW+BESS 4hr Lo ≈$207 — crossover achieved. 6hr BESS achieves crossover only at 4× gas vs Lo price tier. 8hr BESS does not achieve crossover at any modeled gas price at 40yr with Mid or Hi BESS cost.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</si>
</sst>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.00"/>
    <numFmt numFmtId="165" formatCode="\$#,##0.00;&quot;($&quot;#,##0.00\)"/>
    <numFmt numFmtId="166" formatCode="0.0%"/>
    <numFmt numFmtId="167" formatCode="\$#,##0"/>
    <numFmt numFmtId="168" formatCode="\$#,##0.0"/>
    <numFmt numFmtId="169" formatCode="0.000000"/>
    <numFmt numFmtId="170" formatCode="\$#,##0.00;[Red]&quot;($&quot;#,##0.00\)"/>
  </numFmts>
  <fonts count="40" x14ac:knownFonts="1">
    <font>
      <sz val="11"/>
      <color theme="1"/>
      <name val="Calibri"/>
      <family val="2"/>
      <charset val="1"/>
    </font>
    <font>
      <b/>
      <sz val="16"/>
      <color rgb="FFFFFFFF"/>
      <name val="Calibri"/>
      <family val="2"/>
    </font>
    <font>
      <i/>
      <sz val="10"/>
      <color rgb="FF7A7974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28251D"/>
      <name val="Calibri"/>
      <family val="2"/>
    </font>
    <font>
      <sz val="10"/>
      <color rgb="FF000000"/>
      <name val="Calibri"/>
      <family val="2"/>
    </font>
    <font>
      <b/>
      <sz val="9"/>
      <color rgb="FF28251D"/>
      <name val="Calibri"/>
      <family val="2"/>
    </font>
    <font>
      <b/>
      <sz val="12"/>
      <color rgb="FFFFFFFF"/>
      <name val="Calibri"/>
      <family val="2"/>
    </font>
    <font>
      <b/>
      <sz val="10"/>
      <color rgb="FF01696F"/>
      <name val="Calibri"/>
      <family val="2"/>
    </font>
    <font>
      <sz val="9"/>
      <color rgb="FF28251D"/>
      <name val="Calibri"/>
      <family val="2"/>
    </font>
    <font>
      <b/>
      <sz val="14"/>
      <color rgb="FFFFFFFF"/>
      <name val="Calibri"/>
      <family val="2"/>
    </font>
    <font>
      <sz val="10"/>
      <color rgb="FF0000FF"/>
      <name val="Calibri"/>
      <family val="2"/>
    </font>
    <font>
      <sz val="9"/>
      <color rgb="FF7A7974"/>
      <name val="Calibri"/>
      <family val="2"/>
    </font>
    <font>
      <i/>
      <sz val="8"/>
      <color rgb="FF7A7974"/>
      <name val="Calibri"/>
      <family val="2"/>
    </font>
    <font>
      <b/>
      <sz val="13"/>
      <color rgb="FFFFFFFF"/>
      <name val="Calibri"/>
      <family val="2"/>
    </font>
    <font>
      <b/>
      <sz val="9"/>
      <color rgb="FF7A7974"/>
      <name val="Calibri"/>
      <family val="2"/>
    </font>
    <font>
      <b/>
      <sz val="10"/>
      <color rgb="FF006494"/>
      <name val="Calibri"/>
      <family val="2"/>
    </font>
    <font>
      <b/>
      <sz val="10"/>
      <color rgb="FF28251D"/>
      <name val="Calibri"/>
      <family val="2"/>
    </font>
    <font>
      <sz val="10"/>
      <color rgb="FF7A7974"/>
      <name val="Calibri"/>
      <family val="2"/>
    </font>
    <font>
      <b/>
      <sz val="10"/>
      <color rgb="FF1A6B3C"/>
      <name val="Calibri"/>
      <family val="2"/>
    </font>
    <font>
      <sz val="8"/>
      <color rgb="FF7A7974"/>
      <name val="Calibri"/>
      <family val="2"/>
    </font>
    <font>
      <b/>
      <sz val="9"/>
      <color rgb="FFFFFFFF"/>
      <name val="Calibri"/>
      <family val="2"/>
    </font>
    <font>
      <sz val="10"/>
      <color rgb="FF008000"/>
      <name val="Calibri"/>
      <family val="2"/>
    </font>
    <font>
      <sz val="10"/>
      <color rgb="FF006494"/>
      <name val="Calibri"/>
      <family val="2"/>
    </font>
    <font>
      <b/>
      <sz val="10"/>
      <color rgb="FF5A5A5A"/>
      <name val="Calibri"/>
      <family val="2"/>
    </font>
    <font>
      <b/>
      <sz val="10"/>
      <color rgb="FF0A4B2C"/>
      <name val="Calibri"/>
      <family val="2"/>
    </font>
    <font>
      <i/>
      <sz val="9"/>
      <color rgb="FF7A7974"/>
      <name val="Calibri"/>
      <family val="2"/>
    </font>
    <font>
      <b/>
      <sz val="10"/>
      <color rgb="FFE07B00"/>
      <name val="Calibri"/>
      <family val="2"/>
    </font>
    <font>
      <b/>
      <sz val="10"/>
      <color rgb="FFA81E1E"/>
      <name val="Calibri"/>
      <family val="2"/>
    </font>
    <font>
      <b/>
      <sz val="9"/>
      <color rgb="FF006494"/>
      <name val="Calibri"/>
      <family val="2"/>
    </font>
    <font>
      <b/>
      <sz val="9"/>
      <color rgb="FFE07B00"/>
      <name val="Calibri"/>
      <family val="2"/>
    </font>
    <font>
      <sz val="10"/>
      <color rgb="FFE07B00"/>
      <name val="Calibri"/>
      <family val="2"/>
    </font>
    <font>
      <b/>
      <sz val="9"/>
      <color rgb="FFA81E1E"/>
      <name val="Calibri"/>
      <family val="2"/>
    </font>
    <font>
      <sz val="10"/>
      <color rgb="FFA81E1E"/>
      <name val="Calibri"/>
      <family val="2"/>
    </font>
    <font>
      <b/>
      <sz val="8"/>
      <color rgb="FFFFFFFF"/>
      <name val="Calibri"/>
      <family val="2"/>
    </font>
    <font>
      <sz val="10"/>
      <color rgb="FF1A6B3C"/>
      <name val="Calibri"/>
      <family val="2"/>
    </font>
    <font>
      <b/>
      <sz val="10"/>
      <color rgb="FFA84B2F"/>
      <name val="Calibri"/>
      <family val="2"/>
    </font>
    <font>
      <b/>
      <sz val="10"/>
      <color rgb="FF7A39BB"/>
      <name val="Calibri"/>
      <family val="2"/>
    </font>
    <font>
      <b/>
      <sz val="10"/>
      <color rgb="FF964454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1696F"/>
        <bgColor rgb="FF006494"/>
      </patternFill>
    </fill>
    <fill>
      <patternFill patternType="solid">
        <fgColor rgb="FFF9F8F5"/>
        <bgColor rgb="FFF9F9F9"/>
      </patternFill>
    </fill>
    <fill>
      <patternFill patternType="solid">
        <fgColor rgb="FF1B474D"/>
        <bgColor rgb="FF0A4B2C"/>
      </patternFill>
    </fill>
    <fill>
      <patternFill patternType="solid">
        <fgColor rgb="FFFFF8E7"/>
        <bgColor rgb="FFF9F8F5"/>
      </patternFill>
    </fill>
    <fill>
      <patternFill patternType="solid">
        <fgColor rgb="FFD4EDDA"/>
        <bgColor rgb="FFD0E8D4"/>
      </patternFill>
    </fill>
    <fill>
      <patternFill patternType="solid">
        <fgColor rgb="FFFFFFFF"/>
        <bgColor rgb="FFF9F9F9"/>
      </patternFill>
    </fill>
    <fill>
      <patternFill patternType="solid">
        <fgColor rgb="FFFFFF00"/>
        <bgColor rgb="FFFFF0D0"/>
      </patternFill>
    </fill>
    <fill>
      <patternFill patternType="solid">
        <fgColor rgb="FF5A5A5A"/>
        <bgColor rgb="FF4A4A4A"/>
      </patternFill>
    </fill>
    <fill>
      <patternFill patternType="solid">
        <fgColor rgb="FF4A4A4A"/>
        <bgColor rgb="FF5A5A5A"/>
      </patternFill>
    </fill>
    <fill>
      <patternFill patternType="solid">
        <fgColor rgb="FF006494"/>
        <bgColor rgb="FF01696F"/>
      </patternFill>
    </fill>
    <fill>
      <patternFill patternType="solid">
        <fgColor rgb="FFD0E8F5"/>
        <bgColor rgb="FFD4EDDA"/>
      </patternFill>
    </fill>
    <fill>
      <patternFill patternType="solid">
        <fgColor rgb="FF1A6B3C"/>
        <bgColor rgb="FF01696F"/>
      </patternFill>
    </fill>
    <fill>
      <patternFill patternType="solid">
        <fgColor rgb="FFD0E8D4"/>
        <bgColor rgb="FFD4EDDA"/>
      </patternFill>
    </fill>
    <fill>
      <patternFill patternType="solid">
        <fgColor rgb="FFF0D4D4"/>
        <bgColor rgb="FFFAD4D4"/>
      </patternFill>
    </fill>
    <fill>
      <patternFill patternType="solid">
        <fgColor rgb="FFFFF0D0"/>
        <bgColor rgb="FFFFF8E7"/>
      </patternFill>
    </fill>
    <fill>
      <patternFill patternType="solid">
        <fgColor rgb="FFFAD4D4"/>
        <bgColor rgb="FFF0D4D4"/>
      </patternFill>
    </fill>
    <fill>
      <patternFill patternType="solid">
        <fgColor rgb="FFE07B00"/>
        <bgColor rgb="FFF79646"/>
      </patternFill>
    </fill>
    <fill>
      <patternFill patternType="solid">
        <fgColor rgb="FFA81E1E"/>
        <bgColor rgb="FF800000"/>
      </patternFill>
    </fill>
    <fill>
      <patternFill patternType="solid">
        <fgColor rgb="FFEDF7F0"/>
        <bgColor rgb="FFF9F8F5"/>
      </patternFill>
    </fill>
  </fills>
  <borders count="3">
    <border>
      <left/>
      <right/>
      <top/>
      <bottom/>
      <diagonal/>
    </border>
    <border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  <border>
      <left style="thin">
        <color rgb="FFD4D1CA"/>
      </left>
      <right/>
      <top style="thin">
        <color rgb="FFD4D1CA"/>
      </top>
      <bottom style="thin">
        <color rgb="FFD4D1CA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indent="1"/>
    </xf>
    <xf numFmtId="164" fontId="6" fillId="3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indent="1"/>
    </xf>
    <xf numFmtId="164" fontId="6" fillId="7" borderId="1" xfId="0" applyNumberFormat="1" applyFont="1" applyFill="1" applyBorder="1" applyAlignment="1">
      <alignment horizontal="right" vertical="center"/>
    </xf>
    <xf numFmtId="165" fontId="6" fillId="7" borderId="1" xfId="0" applyNumberFormat="1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inden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indent="1"/>
    </xf>
    <xf numFmtId="164" fontId="6" fillId="0" borderId="1" xfId="0" applyNumberFormat="1" applyFont="1" applyBorder="1" applyAlignment="1">
      <alignment horizontal="right" vertical="center"/>
    </xf>
    <xf numFmtId="166" fontId="12" fillId="7" borderId="1" xfId="0" applyNumberFormat="1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/>
    </xf>
    <xf numFmtId="3" fontId="12" fillId="7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167" fontId="12" fillId="8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166" fontId="12" fillId="8" borderId="1" xfId="0" applyNumberFormat="1" applyFont="1" applyFill="1" applyBorder="1" applyAlignment="1">
      <alignment horizontal="right" vertical="center"/>
    </xf>
    <xf numFmtId="168" fontId="12" fillId="3" borderId="1" xfId="0" applyNumberFormat="1" applyFont="1" applyFill="1" applyBorder="1" applyAlignment="1">
      <alignment horizontal="right" vertical="center"/>
    </xf>
    <xf numFmtId="164" fontId="12" fillId="7" borderId="1" xfId="0" applyNumberFormat="1" applyFont="1" applyFill="1" applyBorder="1" applyAlignment="1">
      <alignment horizontal="right" vertical="center"/>
    </xf>
    <xf numFmtId="168" fontId="12" fillId="7" borderId="1" xfId="0" applyNumberFormat="1" applyFont="1" applyFill="1" applyBorder="1" applyAlignment="1">
      <alignment horizontal="right" vertical="center"/>
    </xf>
    <xf numFmtId="164" fontId="12" fillId="3" borderId="1" xfId="0" applyNumberFormat="1" applyFont="1" applyFill="1" applyBorder="1" applyAlignment="1">
      <alignment horizontal="right" vertical="center"/>
    </xf>
    <xf numFmtId="2" fontId="12" fillId="3" borderId="1" xfId="0" applyNumberFormat="1" applyFont="1" applyFill="1" applyBorder="1" applyAlignment="1">
      <alignment horizontal="right" vertical="center"/>
    </xf>
    <xf numFmtId="169" fontId="12" fillId="7" borderId="1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7" borderId="0" xfId="0" applyFill="1"/>
    <xf numFmtId="0" fontId="16" fillId="5" borderId="0" xfId="0" applyFont="1" applyFill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11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/>
    </xf>
    <xf numFmtId="164" fontId="17" fillId="3" borderId="1" xfId="0" applyNumberFormat="1" applyFont="1" applyFill="1" applyBorder="1" applyAlignment="1">
      <alignment horizontal="right" vertical="center"/>
    </xf>
    <xf numFmtId="3" fontId="6" fillId="7" borderId="1" xfId="0" applyNumberFormat="1" applyFont="1" applyFill="1" applyBorder="1" applyAlignment="1">
      <alignment horizontal="right" vertical="center"/>
    </xf>
    <xf numFmtId="164" fontId="17" fillId="7" borderId="1" xfId="0" applyNumberFormat="1" applyFont="1" applyFill="1" applyBorder="1" applyAlignment="1">
      <alignment horizontal="right" vertical="center"/>
    </xf>
    <xf numFmtId="0" fontId="18" fillId="12" borderId="1" xfId="0" applyFont="1" applyFill="1" applyBorder="1" applyAlignment="1">
      <alignment horizontal="left" vertical="center" indent="1"/>
    </xf>
    <xf numFmtId="164" fontId="6" fillId="12" borderId="1" xfId="0" applyNumberFormat="1" applyFont="1" applyFill="1" applyBorder="1" applyAlignment="1">
      <alignment horizontal="right" vertical="center"/>
    </xf>
    <xf numFmtId="3" fontId="6" fillId="12" borderId="1" xfId="0" applyNumberFormat="1" applyFont="1" applyFill="1" applyBorder="1" applyAlignment="1">
      <alignment horizontal="right" vertical="center"/>
    </xf>
    <xf numFmtId="164" fontId="17" fillId="12" borderId="1" xfId="0" applyNumberFormat="1" applyFont="1" applyFill="1" applyBorder="1" applyAlignment="1">
      <alignment horizontal="right" vertical="center"/>
    </xf>
    <xf numFmtId="0" fontId="13" fillId="12" borderId="1" xfId="0" applyFont="1" applyFill="1" applyBorder="1" applyAlignment="1">
      <alignment horizontal="left" vertical="center" indent="1"/>
    </xf>
    <xf numFmtId="168" fontId="6" fillId="7" borderId="1" xfId="0" applyNumberFormat="1" applyFont="1" applyFill="1" applyBorder="1" applyAlignment="1">
      <alignment horizontal="right" vertical="center"/>
    </xf>
    <xf numFmtId="168" fontId="6" fillId="3" borderId="1" xfId="0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left" vertical="center" indent="1"/>
    </xf>
    <xf numFmtId="3" fontId="6" fillId="14" borderId="1" xfId="0" applyNumberFormat="1" applyFont="1" applyFill="1" applyBorder="1" applyAlignment="1">
      <alignment horizontal="right" vertical="center"/>
    </xf>
    <xf numFmtId="168" fontId="6" fillId="14" borderId="1" xfId="0" applyNumberFormat="1" applyFont="1" applyFill="1" applyBorder="1" applyAlignment="1">
      <alignment horizontal="right" vertical="center"/>
    </xf>
    <xf numFmtId="164" fontId="20" fillId="14" borderId="1" xfId="0" applyNumberFormat="1" applyFont="1" applyFill="1" applyBorder="1" applyAlignment="1">
      <alignment horizontal="right" vertical="center"/>
    </xf>
    <xf numFmtId="0" fontId="21" fillId="14" borderId="1" xfId="0" applyFont="1" applyFill="1" applyBorder="1" applyAlignment="1">
      <alignment horizontal="left" vertical="center" indent="1"/>
    </xf>
    <xf numFmtId="0" fontId="20" fillId="6" borderId="1" xfId="0" applyFont="1" applyFill="1" applyBorder="1" applyAlignment="1">
      <alignment horizontal="left" vertical="center" indent="1"/>
    </xf>
    <xf numFmtId="3" fontId="6" fillId="6" borderId="1" xfId="0" applyNumberFormat="1" applyFont="1" applyFill="1" applyBorder="1" applyAlignment="1">
      <alignment horizontal="right" vertical="center"/>
    </xf>
    <xf numFmtId="168" fontId="6" fillId="6" borderId="1" xfId="0" applyNumberFormat="1" applyFont="1" applyFill="1" applyBorder="1" applyAlignment="1">
      <alignment horizontal="right" vertical="center"/>
    </xf>
    <xf numFmtId="164" fontId="20" fillId="6" borderId="1" xfId="0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left" vertical="center" indent="1"/>
    </xf>
    <xf numFmtId="0" fontId="20" fillId="15" borderId="1" xfId="0" applyFont="1" applyFill="1" applyBorder="1" applyAlignment="1">
      <alignment horizontal="left" vertical="center" indent="1"/>
    </xf>
    <xf numFmtId="3" fontId="6" fillId="15" borderId="1" xfId="0" applyNumberFormat="1" applyFont="1" applyFill="1" applyBorder="1" applyAlignment="1">
      <alignment horizontal="right" vertical="center"/>
    </xf>
    <xf numFmtId="168" fontId="6" fillId="15" borderId="1" xfId="0" applyNumberFormat="1" applyFont="1" applyFill="1" applyBorder="1" applyAlignment="1">
      <alignment horizontal="right" vertical="center"/>
    </xf>
    <xf numFmtId="164" fontId="20" fillId="15" borderId="1" xfId="0" applyNumberFormat="1" applyFont="1" applyFill="1" applyBorder="1" applyAlignment="1">
      <alignment horizontal="right" vertical="center"/>
    </xf>
    <xf numFmtId="0" fontId="21" fillId="15" borderId="1" xfId="0" applyFont="1" applyFill="1" applyBorder="1" applyAlignment="1">
      <alignment horizontal="left" vertical="center" indent="1"/>
    </xf>
    <xf numFmtId="0" fontId="18" fillId="3" borderId="1" xfId="0" applyFont="1" applyFill="1" applyBorder="1" applyAlignment="1">
      <alignment horizontal="left" vertical="center" indent="1"/>
    </xf>
    <xf numFmtId="164" fontId="23" fillId="3" borderId="1" xfId="0" applyNumberFormat="1" applyFont="1" applyFill="1" applyBorder="1" applyAlignment="1">
      <alignment horizontal="right" vertical="center"/>
    </xf>
    <xf numFmtId="164" fontId="23" fillId="5" borderId="1" xfId="0" applyNumberFormat="1" applyFont="1" applyFill="1" applyBorder="1" applyAlignment="1">
      <alignment horizontal="right" vertical="center"/>
    </xf>
    <xf numFmtId="164" fontId="24" fillId="12" borderId="1" xfId="0" applyNumberFormat="1" applyFont="1" applyFill="1" applyBorder="1" applyAlignment="1">
      <alignment horizontal="right" vertical="center"/>
    </xf>
    <xf numFmtId="164" fontId="23" fillId="7" borderId="1" xfId="0" applyNumberFormat="1" applyFont="1" applyFill="1" applyBorder="1" applyAlignment="1">
      <alignment horizontal="right" vertical="center"/>
    </xf>
    <xf numFmtId="0" fontId="22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left" vertical="center" indent="1"/>
    </xf>
    <xf numFmtId="0" fontId="17" fillId="3" borderId="1" xfId="0" applyFont="1" applyFill="1" applyBorder="1" applyAlignment="1">
      <alignment horizontal="left" vertical="center" indent="1"/>
    </xf>
    <xf numFmtId="0" fontId="20" fillId="7" borderId="1" xfId="0" applyFont="1" applyFill="1" applyBorder="1" applyAlignment="1">
      <alignment horizontal="left" vertical="center" indent="1"/>
    </xf>
    <xf numFmtId="0" fontId="20" fillId="3" borderId="1" xfId="0" applyFont="1" applyFill="1" applyBorder="1" applyAlignment="1">
      <alignment horizontal="left" vertical="center" indent="1"/>
    </xf>
    <xf numFmtId="0" fontId="26" fillId="7" borderId="1" xfId="0" applyFont="1" applyFill="1" applyBorder="1" applyAlignment="1">
      <alignment horizontal="left" vertical="center" indent="1"/>
    </xf>
    <xf numFmtId="0" fontId="18" fillId="7" borderId="1" xfId="0" applyFont="1" applyFill="1" applyBorder="1" applyAlignment="1">
      <alignment horizontal="left" vertical="center" indent="1"/>
    </xf>
    <xf numFmtId="0" fontId="17" fillId="12" borderId="1" xfId="0" applyFont="1" applyFill="1" applyBorder="1" applyAlignment="1">
      <alignment horizontal="left" vertical="center" indent="1"/>
    </xf>
    <xf numFmtId="9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indent="1"/>
    </xf>
    <xf numFmtId="0" fontId="28" fillId="16" borderId="1" xfId="0" applyFont="1" applyFill="1" applyBorder="1" applyAlignment="1">
      <alignment horizontal="left" vertical="center" indent="1"/>
    </xf>
    <xf numFmtId="9" fontId="5" fillId="16" borderId="1" xfId="0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 indent="1"/>
    </xf>
    <xf numFmtId="0" fontId="29" fillId="17" borderId="1" xfId="0" applyFont="1" applyFill="1" applyBorder="1" applyAlignment="1">
      <alignment horizontal="left" vertical="center" indent="1"/>
    </xf>
    <xf numFmtId="9" fontId="5" fillId="17" borderId="1" xfId="0" applyNumberFormat="1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indent="1"/>
    </xf>
    <xf numFmtId="0" fontId="24" fillId="12" borderId="1" xfId="0" applyFont="1" applyFill="1" applyBorder="1" applyAlignment="1">
      <alignment horizontal="left" vertical="center" indent="1"/>
    </xf>
    <xf numFmtId="3" fontId="24" fillId="12" borderId="1" xfId="0" applyNumberFormat="1" applyFont="1" applyFill="1" applyBorder="1" applyAlignment="1">
      <alignment horizontal="right" vertical="center"/>
    </xf>
    <xf numFmtId="168" fontId="24" fillId="12" borderId="1" xfId="0" applyNumberFormat="1" applyFont="1" applyFill="1" applyBorder="1" applyAlignment="1">
      <alignment horizontal="right" vertical="center"/>
    </xf>
    <xf numFmtId="0" fontId="24" fillId="6" borderId="1" xfId="0" applyFont="1" applyFill="1" applyBorder="1" applyAlignment="1">
      <alignment horizontal="left" vertical="center" indent="1"/>
    </xf>
    <xf numFmtId="3" fontId="24" fillId="6" borderId="1" xfId="0" applyNumberFormat="1" applyFont="1" applyFill="1" applyBorder="1" applyAlignment="1">
      <alignment horizontal="right" vertical="center"/>
    </xf>
    <xf numFmtId="164" fontId="17" fillId="6" borderId="1" xfId="0" applyNumberFormat="1" applyFont="1" applyFill="1" applyBorder="1" applyAlignment="1">
      <alignment horizontal="right" vertical="center"/>
    </xf>
    <xf numFmtId="168" fontId="24" fillId="6" borderId="1" xfId="0" applyNumberFormat="1" applyFont="1" applyFill="1" applyBorder="1" applyAlignment="1">
      <alignment horizontal="right" vertical="center"/>
    </xf>
    <xf numFmtId="0" fontId="24" fillId="17" borderId="1" xfId="0" applyFont="1" applyFill="1" applyBorder="1" applyAlignment="1">
      <alignment horizontal="left" vertical="center" indent="1"/>
    </xf>
    <xf numFmtId="3" fontId="24" fillId="17" borderId="1" xfId="0" applyNumberFormat="1" applyFont="1" applyFill="1" applyBorder="1" applyAlignment="1">
      <alignment horizontal="right" vertical="center"/>
    </xf>
    <xf numFmtId="164" fontId="17" fillId="17" borderId="1" xfId="0" applyNumberFormat="1" applyFont="1" applyFill="1" applyBorder="1" applyAlignment="1">
      <alignment horizontal="right" vertical="center"/>
    </xf>
    <xf numFmtId="168" fontId="24" fillId="17" borderId="1" xfId="0" applyNumberFormat="1" applyFont="1" applyFill="1" applyBorder="1" applyAlignment="1">
      <alignment horizontal="right" vertical="center"/>
    </xf>
    <xf numFmtId="0" fontId="32" fillId="12" borderId="1" xfId="0" applyFont="1" applyFill="1" applyBorder="1" applyAlignment="1">
      <alignment horizontal="left" vertical="center" indent="1"/>
    </xf>
    <xf numFmtId="3" fontId="32" fillId="12" borderId="1" xfId="0" applyNumberFormat="1" applyFont="1" applyFill="1" applyBorder="1" applyAlignment="1">
      <alignment horizontal="right" vertical="center"/>
    </xf>
    <xf numFmtId="164" fontId="28" fillId="12" borderId="1" xfId="0" applyNumberFormat="1" applyFont="1" applyFill="1" applyBorder="1" applyAlignment="1">
      <alignment horizontal="right" vertical="center"/>
    </xf>
    <xf numFmtId="168" fontId="32" fillId="12" borderId="1" xfId="0" applyNumberFormat="1" applyFont="1" applyFill="1" applyBorder="1" applyAlignment="1">
      <alignment horizontal="right" vertical="center"/>
    </xf>
    <xf numFmtId="0" fontId="32" fillId="6" borderId="1" xfId="0" applyFont="1" applyFill="1" applyBorder="1" applyAlignment="1">
      <alignment horizontal="left" vertical="center" indent="1"/>
    </xf>
    <xf numFmtId="3" fontId="32" fillId="6" borderId="1" xfId="0" applyNumberFormat="1" applyFont="1" applyFill="1" applyBorder="1" applyAlignment="1">
      <alignment horizontal="right" vertical="center"/>
    </xf>
    <xf numFmtId="164" fontId="28" fillId="6" borderId="1" xfId="0" applyNumberFormat="1" applyFont="1" applyFill="1" applyBorder="1" applyAlignment="1">
      <alignment horizontal="right" vertical="center"/>
    </xf>
    <xf numFmtId="168" fontId="32" fillId="6" borderId="1" xfId="0" applyNumberFormat="1" applyFont="1" applyFill="1" applyBorder="1" applyAlignment="1">
      <alignment horizontal="right" vertical="center"/>
    </xf>
    <xf numFmtId="0" fontId="32" fillId="17" borderId="1" xfId="0" applyFont="1" applyFill="1" applyBorder="1" applyAlignment="1">
      <alignment horizontal="left" vertical="center" indent="1"/>
    </xf>
    <xf numFmtId="3" fontId="32" fillId="17" borderId="1" xfId="0" applyNumberFormat="1" applyFont="1" applyFill="1" applyBorder="1" applyAlignment="1">
      <alignment horizontal="right" vertical="center"/>
    </xf>
    <xf numFmtId="164" fontId="28" fillId="17" borderId="1" xfId="0" applyNumberFormat="1" applyFont="1" applyFill="1" applyBorder="1" applyAlignment="1">
      <alignment horizontal="right" vertical="center"/>
    </xf>
    <xf numFmtId="168" fontId="32" fillId="17" borderId="1" xfId="0" applyNumberFormat="1" applyFont="1" applyFill="1" applyBorder="1" applyAlignment="1">
      <alignment horizontal="right" vertical="center"/>
    </xf>
    <xf numFmtId="0" fontId="34" fillId="12" borderId="1" xfId="0" applyFont="1" applyFill="1" applyBorder="1" applyAlignment="1">
      <alignment horizontal="left" vertical="center" indent="1"/>
    </xf>
    <xf numFmtId="3" fontId="34" fillId="12" borderId="1" xfId="0" applyNumberFormat="1" applyFont="1" applyFill="1" applyBorder="1" applyAlignment="1">
      <alignment horizontal="right" vertical="center"/>
    </xf>
    <xf numFmtId="164" fontId="29" fillId="12" borderId="1" xfId="0" applyNumberFormat="1" applyFont="1" applyFill="1" applyBorder="1" applyAlignment="1">
      <alignment horizontal="right" vertical="center"/>
    </xf>
    <xf numFmtId="168" fontId="34" fillId="12" borderId="1" xfId="0" applyNumberFormat="1" applyFont="1" applyFill="1" applyBorder="1" applyAlignment="1">
      <alignment horizontal="right" vertical="center"/>
    </xf>
    <xf numFmtId="0" fontId="34" fillId="6" borderId="1" xfId="0" applyFont="1" applyFill="1" applyBorder="1" applyAlignment="1">
      <alignment horizontal="left" vertical="center" indent="1"/>
    </xf>
    <xf numFmtId="3" fontId="34" fillId="6" borderId="1" xfId="0" applyNumberFormat="1" applyFont="1" applyFill="1" applyBorder="1" applyAlignment="1">
      <alignment horizontal="right" vertical="center"/>
    </xf>
    <xf numFmtId="164" fontId="29" fillId="6" borderId="1" xfId="0" applyNumberFormat="1" applyFont="1" applyFill="1" applyBorder="1" applyAlignment="1">
      <alignment horizontal="right" vertical="center"/>
    </xf>
    <xf numFmtId="168" fontId="34" fillId="6" borderId="1" xfId="0" applyNumberFormat="1" applyFont="1" applyFill="1" applyBorder="1" applyAlignment="1">
      <alignment horizontal="right" vertical="center"/>
    </xf>
    <xf numFmtId="0" fontId="34" fillId="17" borderId="1" xfId="0" applyFont="1" applyFill="1" applyBorder="1" applyAlignment="1">
      <alignment horizontal="left" vertical="center" indent="1"/>
    </xf>
    <xf numFmtId="3" fontId="34" fillId="17" borderId="1" xfId="0" applyNumberFormat="1" applyFont="1" applyFill="1" applyBorder="1" applyAlignment="1">
      <alignment horizontal="right" vertical="center"/>
    </xf>
    <xf numFmtId="164" fontId="29" fillId="17" borderId="1" xfId="0" applyNumberFormat="1" applyFont="1" applyFill="1" applyBorder="1" applyAlignment="1">
      <alignment horizontal="right" vertical="center"/>
    </xf>
    <xf numFmtId="168" fontId="34" fillId="17" borderId="1" xfId="0" applyNumberFormat="1" applyFont="1" applyFill="1" applyBorder="1" applyAlignment="1">
      <alignment horizontal="right" vertical="center"/>
    </xf>
    <xf numFmtId="0" fontId="22" fillId="11" borderId="1" xfId="0" applyFont="1" applyFill="1" applyBorder="1" applyAlignment="1">
      <alignment horizontal="center" vertical="center" wrapText="1"/>
    </xf>
    <xf numFmtId="0" fontId="35" fillId="11" borderId="1" xfId="0" applyFont="1" applyFill="1" applyBorder="1" applyAlignment="1">
      <alignment horizontal="center" vertical="center" wrapText="1"/>
    </xf>
    <xf numFmtId="0" fontId="35" fillId="18" borderId="1" xfId="0" applyFont="1" applyFill="1" applyBorder="1" applyAlignment="1">
      <alignment horizontal="center" vertical="center" wrapText="1"/>
    </xf>
    <xf numFmtId="0" fontId="35" fillId="19" borderId="1" xfId="0" applyFont="1" applyFill="1" applyBorder="1" applyAlignment="1">
      <alignment horizontal="center" vertical="center" wrapText="1"/>
    </xf>
    <xf numFmtId="164" fontId="28" fillId="16" borderId="1" xfId="0" applyNumberFormat="1" applyFont="1" applyFill="1" applyBorder="1" applyAlignment="1">
      <alignment horizontal="right" vertical="center"/>
    </xf>
    <xf numFmtId="170" fontId="6" fillId="12" borderId="1" xfId="0" applyNumberFormat="1" applyFont="1" applyFill="1" applyBorder="1" applyAlignment="1">
      <alignment horizontal="right" vertical="center"/>
    </xf>
    <xf numFmtId="170" fontId="6" fillId="16" borderId="1" xfId="0" applyNumberFormat="1" applyFont="1" applyFill="1" applyBorder="1" applyAlignment="1">
      <alignment horizontal="right" vertical="center"/>
    </xf>
    <xf numFmtId="170" fontId="6" fillId="17" borderId="1" xfId="0" applyNumberFormat="1" applyFont="1" applyFill="1" applyBorder="1" applyAlignment="1">
      <alignment horizontal="right" vertical="center"/>
    </xf>
    <xf numFmtId="164" fontId="6" fillId="16" borderId="1" xfId="0" applyNumberFormat="1" applyFont="1" applyFill="1" applyBorder="1" applyAlignment="1">
      <alignment horizontal="right" vertical="center"/>
    </xf>
    <xf numFmtId="164" fontId="6" fillId="17" borderId="1" xfId="0" applyNumberFormat="1" applyFont="1" applyFill="1" applyBorder="1" applyAlignment="1">
      <alignment horizontal="right" vertical="center"/>
    </xf>
    <xf numFmtId="0" fontId="18" fillId="6" borderId="1" xfId="0" applyFont="1" applyFill="1" applyBorder="1" applyAlignment="1">
      <alignment horizontal="left" vertical="center" indent="1"/>
    </xf>
    <xf numFmtId="0" fontId="18" fillId="17" borderId="1" xfId="0" applyFont="1" applyFill="1" applyBorder="1" applyAlignment="1">
      <alignment horizontal="left" vertical="center" indent="1"/>
    </xf>
    <xf numFmtId="0" fontId="20" fillId="20" borderId="1" xfId="0" applyFont="1" applyFill="1" applyBorder="1" applyAlignment="1">
      <alignment horizontal="left" vertical="center" indent="1"/>
    </xf>
    <xf numFmtId="164" fontId="36" fillId="20" borderId="1" xfId="0" applyNumberFormat="1" applyFont="1" applyFill="1" applyBorder="1" applyAlignment="1">
      <alignment horizontal="right" vertical="center"/>
    </xf>
    <xf numFmtId="164" fontId="20" fillId="20" borderId="1" xfId="0" applyNumberFormat="1" applyFont="1" applyFill="1" applyBorder="1" applyAlignment="1">
      <alignment horizontal="right"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left" vertical="center" indent="1"/>
    </xf>
    <xf numFmtId="0" fontId="38" fillId="3" borderId="1" xfId="0" applyFont="1" applyFill="1" applyBorder="1" applyAlignment="1">
      <alignment horizontal="left" vertical="center" indent="1"/>
    </xf>
    <xf numFmtId="0" fontId="39" fillId="7" borderId="1" xfId="0" applyFont="1" applyFill="1" applyBorder="1" applyAlignment="1">
      <alignment horizontal="left" vertical="center" indent="1"/>
    </xf>
    <xf numFmtId="0" fontId="3" fillId="13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2" fillId="18" borderId="0" xfId="0" applyFont="1" applyFill="1" applyAlignment="1">
      <alignment horizontal="center" vertical="center" wrapText="1"/>
    </xf>
    <xf numFmtId="0" fontId="22" fillId="19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3" fillId="4" borderId="0" xfId="0" applyFont="1" applyFill="1" applyAlignment="1">
      <alignment horizontal="left" vertical="center" indent="1"/>
    </xf>
    <xf numFmtId="0" fontId="22" fillId="2" borderId="2" xfId="0" applyFont="1" applyFill="1" applyBorder="1" applyAlignment="1">
      <alignment horizontal="center" vertical="center" wrapText="1"/>
    </xf>
    <xf numFmtId="0" fontId="22" fillId="11" borderId="0" xfId="0" applyFont="1" applyFill="1" applyAlignment="1">
      <alignment horizontal="center" vertical="center" wrapText="1"/>
    </xf>
    <xf numFmtId="0" fontId="27" fillId="20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13" borderId="0" xfId="0" applyFont="1" applyFill="1" applyAlignment="1">
      <alignment horizontal="left" vertical="center" indent="1"/>
    </xf>
    <xf numFmtId="0" fontId="15" fillId="11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left" vertical="center" indent="1"/>
    </xf>
    <xf numFmtId="0" fontId="22" fillId="10" borderId="0" xfId="0" applyFont="1" applyFill="1" applyAlignment="1">
      <alignment horizontal="center" vertical="center" wrapText="1"/>
    </xf>
    <xf numFmtId="0" fontId="22" fillId="13" borderId="0" xfId="0" applyFont="1" applyFill="1" applyAlignment="1">
      <alignment horizontal="center" vertical="center" wrapText="1"/>
    </xf>
    <xf numFmtId="0" fontId="30" fillId="12" borderId="0" xfId="0" applyFont="1" applyFill="1" applyAlignment="1">
      <alignment horizontal="left" vertical="center" indent="1"/>
    </xf>
    <xf numFmtId="0" fontId="31" fillId="16" borderId="0" xfId="0" applyFont="1" applyFill="1" applyAlignment="1">
      <alignment horizontal="left" vertical="center" indent="1"/>
    </xf>
    <xf numFmtId="0" fontId="33" fillId="17" borderId="0" xfId="0" applyFont="1" applyFill="1" applyAlignment="1">
      <alignment horizontal="left" vertical="center" indent="1"/>
    </xf>
    <xf numFmtId="0" fontId="4" fillId="1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9F9F9"/>
      <rgbColor rgb="FF800000"/>
      <rgbColor rgb="FF008000"/>
      <rgbColor rgb="FF000080"/>
      <rgbColor rgb="FF5A5A5A"/>
      <rgbColor rgb="FFBE4B48"/>
      <rgbColor rgb="FF01696F"/>
      <rgbColor rgb="FFB3B3B3"/>
      <rgbColor rgb="FF878787"/>
      <rgbColor rgb="FF8064A2"/>
      <rgbColor rgb="FF964454"/>
      <rgbColor rgb="FFFFF8E7"/>
      <rgbColor rgb="FFD0E8F5"/>
      <rgbColor rgb="FF660066"/>
      <rgbColor rgb="FFC0504D"/>
      <rgbColor rgb="FF006494"/>
      <rgbColor rgb="FFD9D9D9"/>
      <rgbColor rgb="FF000080"/>
      <rgbColor rgb="FFFF00FF"/>
      <rgbColor rgb="FFF9F8F5"/>
      <rgbColor rgb="FF00FFFF"/>
      <rgbColor rgb="FF800080"/>
      <rgbColor rgb="FF800000"/>
      <rgbColor rgb="FF1A6B3C"/>
      <rgbColor rgb="FF0000FF"/>
      <rgbColor rgb="FF00CCFF"/>
      <rgbColor rgb="FFEDF7F0"/>
      <rgbColor rgb="FFD4EDDA"/>
      <rgbColor rgb="FFFFF0D0"/>
      <rgbColor rgb="FFD4D1CA"/>
      <rgbColor rgb="FFF0D4D4"/>
      <rgbColor rgb="FFD0E8D4"/>
      <rgbColor rgb="FFFAD4D4"/>
      <rgbColor rgb="FF4A7EBB"/>
      <rgbColor rgb="FF4BACC6"/>
      <rgbColor rgb="FF98B855"/>
      <rgbColor rgb="FF9BBB59"/>
      <rgbColor rgb="FFF79646"/>
      <rgbColor rgb="FFE07B00"/>
      <rgbColor rgb="FF7D5FA0"/>
      <rgbColor rgb="FF7A7974"/>
      <rgbColor rgb="FF1B474D"/>
      <rgbColor rgb="FF4F81BD"/>
      <rgbColor rgb="FF0A4B2C"/>
      <rgbColor rgb="FF4A4A4A"/>
      <rgbColor rgb="FFA81E1E"/>
      <rgbColor rgb="FFA84B2F"/>
      <rgbColor rgb="FF7A39BB"/>
      <rgbColor rgb="FF28251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20-Year LCOE: Northport Scale — Gas CC vs OSW vs OSW+BESS (Baseline Gas)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Charts!$C$5</c:f>
              <c:strCache>
                <c:ptCount val="1"/>
                <c:pt idx="0">
                  <c:v>Northport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9F9F9"/>
                      </a:solidFill>
                    </a:ln>
                  </c:spPr>
                </c15:leaderLines>
              </c:ext>
            </c:extLst>
          </c:dLbls>
          <c:cat>
            <c:strRef>
              <c:f>Charts!$B$6:$B$11</c:f>
              <c:strCache>
                <c:ptCount val="6"/>
                <c:pt idx="0">
                  <c:v>Gas CC + Carbon Tax</c:v>
                </c:pt>
                <c:pt idx="1">
                  <c:v>Gas CC — No Carbon Tax</c:v>
                </c:pt>
                <c:pt idx="2">
                  <c:v>OSW Standalone</c:v>
                </c:pt>
                <c:pt idx="3">
                  <c:v>OSW + BESS Low</c:v>
                </c:pt>
                <c:pt idx="4">
                  <c:v>OSW + BESS Mid</c:v>
                </c:pt>
                <c:pt idx="5">
                  <c:v>OSW + BESS High</c:v>
                </c:pt>
              </c:strCache>
            </c:strRef>
          </c:cat>
          <c:val>
            <c:numRef>
              <c:f>Charts!$C$6:$C$11</c:f>
              <c:numCache>
                <c:formatCode>\$#,##0.00</c:formatCode>
                <c:ptCount val="6"/>
                <c:pt idx="0">
                  <c:v>132.1887222161827</c:v>
                </c:pt>
                <c:pt idx="1">
                  <c:v>118.04364331193808</c:v>
                </c:pt>
                <c:pt idx="2">
                  <c:v>190.72742433692062</c:v>
                </c:pt>
                <c:pt idx="3">
                  <c:v>231.27144654077483</c:v>
                </c:pt>
                <c:pt idx="4">
                  <c:v>237.38762430510371</c:v>
                </c:pt>
                <c:pt idx="5">
                  <c:v>243.50380206943265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2-45C9-AB35-81216A8A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79550"/>
        <c:axId val="85727046"/>
      </c:barChart>
      <c:catAx>
        <c:axId val="666795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Technology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5727046"/>
        <c:crosses val="autoZero"/>
        <c:auto val="1"/>
        <c:lblAlgn val="ctr"/>
        <c:lblOffset val="100"/>
        <c:noMultiLvlLbl val="0"/>
      </c:catAx>
      <c:valAx>
        <c:axId val="8572704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LCOE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6667955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Northport — LCOE by Time Horizon (All Gas Scenarios + OSW + OSW+BESS Mid)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Charts!$C$16</c:f>
              <c:strCache>
                <c:ptCount val="1"/>
                <c:pt idx="0">
                  <c:v>10-Year</c:v>
                </c:pt>
              </c:strCache>
            </c:strRef>
          </c:tx>
          <c:spPr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Charts!$B$17:$B$24</c:f>
              <c:strCache>
                <c:ptCount val="8"/>
                <c:pt idx="0">
                  <c:v>Gas CC+Carbon — 1x gas</c:v>
                </c:pt>
                <c:pt idx="1">
                  <c:v>Gas CC+Carbon — 2x gas</c:v>
                </c:pt>
                <c:pt idx="2">
                  <c:v>Gas CC+Carbon — 3x gas</c:v>
                </c:pt>
                <c:pt idx="3">
                  <c:v>Gas CC+Carbon — 4x gas</c:v>
                </c:pt>
                <c:pt idx="4">
                  <c:v>OSW Standalone (NREL)</c:v>
                </c:pt>
                <c:pt idx="5">
                  <c:v>OSW+BESS $300/kWh</c:v>
                </c:pt>
                <c:pt idx="6">
                  <c:v>OSW+BESS $350/kWh</c:v>
                </c:pt>
                <c:pt idx="7">
                  <c:v>OSW+BESS $400/kWh</c:v>
                </c:pt>
              </c:strCache>
            </c:strRef>
          </c:cat>
          <c:val>
            <c:numRef>
              <c:f>Charts!$C$17:$C$24</c:f>
              <c:numCache>
                <c:formatCode>\$#,##0.00</c:formatCode>
                <c:ptCount val="8"/>
                <c:pt idx="0">
                  <c:v>156.91648774000271</c:v>
                </c:pt>
                <c:pt idx="1">
                  <c:v>188.18681448488482</c:v>
                </c:pt>
                <c:pt idx="2">
                  <c:v>219.45714122976699</c:v>
                </c:pt>
                <c:pt idx="3">
                  <c:v>250.72746797464913</c:v>
                </c:pt>
                <c:pt idx="4">
                  <c:v>258.75825158752525</c:v>
                </c:pt>
                <c:pt idx="5">
                  <c:v>316.05071348682344</c:v>
                </c:pt>
                <c:pt idx="6">
                  <c:v>324.99986496355785</c:v>
                </c:pt>
                <c:pt idx="7">
                  <c:v>333.94901644029227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7E6-4849-B909-B22D6C14124C}"/>
            </c:ext>
          </c:extLst>
        </c:ser>
        <c:ser>
          <c:idx val="1"/>
          <c:order val="1"/>
          <c:tx>
            <c:strRef>
              <c:f>Charts!$D$16</c:f>
              <c:strCache>
                <c:ptCount val="1"/>
                <c:pt idx="0">
                  <c:v>20-Year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Charts!$B$17:$B$24</c:f>
              <c:strCache>
                <c:ptCount val="8"/>
                <c:pt idx="0">
                  <c:v>Gas CC+Carbon — 1x gas</c:v>
                </c:pt>
                <c:pt idx="1">
                  <c:v>Gas CC+Carbon — 2x gas</c:v>
                </c:pt>
                <c:pt idx="2">
                  <c:v>Gas CC+Carbon — 3x gas</c:v>
                </c:pt>
                <c:pt idx="3">
                  <c:v>Gas CC+Carbon — 4x gas</c:v>
                </c:pt>
                <c:pt idx="4">
                  <c:v>OSW Standalone (NREL)</c:v>
                </c:pt>
                <c:pt idx="5">
                  <c:v>OSW+BESS $300/kWh</c:v>
                </c:pt>
                <c:pt idx="6">
                  <c:v>OSW+BESS $350/kWh</c:v>
                </c:pt>
                <c:pt idx="7">
                  <c:v>OSW+BESS $400/kWh</c:v>
                </c:pt>
              </c:strCache>
            </c:strRef>
          </c:cat>
          <c:val>
            <c:numRef>
              <c:f>Charts!$D$17:$D$24</c:f>
              <c:numCache>
                <c:formatCode>\$#,##0.00</c:formatCode>
                <c:ptCount val="8"/>
                <c:pt idx="0">
                  <c:v>132.1887222161827</c:v>
                </c:pt>
                <c:pt idx="1">
                  <c:v>165.62688361192053</c:v>
                </c:pt>
                <c:pt idx="2">
                  <c:v>199.06504500765831</c:v>
                </c:pt>
                <c:pt idx="3">
                  <c:v>232.50320640339609</c:v>
                </c:pt>
                <c:pt idx="4">
                  <c:v>190.72742433692062</c:v>
                </c:pt>
                <c:pt idx="5">
                  <c:v>231.27144654077483</c:v>
                </c:pt>
                <c:pt idx="6">
                  <c:v>237.38762430510371</c:v>
                </c:pt>
                <c:pt idx="7">
                  <c:v>243.50380206943265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7E6-4849-B909-B22D6C14124C}"/>
            </c:ext>
          </c:extLst>
        </c:ser>
        <c:ser>
          <c:idx val="2"/>
          <c:order val="2"/>
          <c:tx>
            <c:strRef>
              <c:f>Charts!$E$16</c:f>
              <c:strCache>
                <c:ptCount val="1"/>
                <c:pt idx="0">
                  <c:v>30-Year</c:v>
                </c:pt>
              </c:strCache>
            </c:strRef>
          </c:tx>
          <c:spPr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Charts!$B$17:$B$24</c:f>
              <c:strCache>
                <c:ptCount val="8"/>
                <c:pt idx="0">
                  <c:v>Gas CC+Carbon — 1x gas</c:v>
                </c:pt>
                <c:pt idx="1">
                  <c:v>Gas CC+Carbon — 2x gas</c:v>
                </c:pt>
                <c:pt idx="2">
                  <c:v>Gas CC+Carbon — 3x gas</c:v>
                </c:pt>
                <c:pt idx="3">
                  <c:v>Gas CC+Carbon — 4x gas</c:v>
                </c:pt>
                <c:pt idx="4">
                  <c:v>OSW Standalone (NREL)</c:v>
                </c:pt>
                <c:pt idx="5">
                  <c:v>OSW+BESS $300/kWh</c:v>
                </c:pt>
                <c:pt idx="6">
                  <c:v>OSW+BESS $350/kWh</c:v>
                </c:pt>
                <c:pt idx="7">
                  <c:v>OSW+BESS $400/kWh</c:v>
                </c:pt>
              </c:strCache>
            </c:strRef>
          </c:cat>
          <c:val>
            <c:numRef>
              <c:f>Charts!$E$17:$E$24</c:f>
              <c:numCache>
                <c:formatCode>\$#,##0.00</c:formatCode>
                <c:ptCount val="8"/>
                <c:pt idx="0">
                  <c:v>126.11331346369846</c:v>
                </c:pt>
                <c:pt idx="1">
                  <c:v>161.2174717334432</c:v>
                </c:pt>
                <c:pt idx="2">
                  <c:v>196.32163000318795</c:v>
                </c:pt>
                <c:pt idx="3">
                  <c:v>231.42578827293266</c:v>
                </c:pt>
                <c:pt idx="4">
                  <c:v>173.17349242857216</c:v>
                </c:pt>
                <c:pt idx="5">
                  <c:v>215.03318732054097</c:v>
                </c:pt>
                <c:pt idx="6">
                  <c:v>220.36723337828494</c:v>
                </c:pt>
                <c:pt idx="7">
                  <c:v>225.70127943602893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7E6-4849-B909-B22D6C14124C}"/>
            </c:ext>
          </c:extLst>
        </c:ser>
        <c:ser>
          <c:idx val="3"/>
          <c:order val="3"/>
          <c:tx>
            <c:strRef>
              <c:f>Charts!$F$16</c:f>
              <c:strCache>
                <c:ptCount val="1"/>
                <c:pt idx="0">
                  <c:v>40-Year</c:v>
                </c:pt>
              </c:strCache>
            </c:strRef>
          </c:tx>
          <c:spPr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4752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Charts!$B$17:$B$24</c:f>
              <c:strCache>
                <c:ptCount val="8"/>
                <c:pt idx="0">
                  <c:v>Gas CC+Carbon — 1x gas</c:v>
                </c:pt>
                <c:pt idx="1">
                  <c:v>Gas CC+Carbon — 2x gas</c:v>
                </c:pt>
                <c:pt idx="2">
                  <c:v>Gas CC+Carbon — 3x gas</c:v>
                </c:pt>
                <c:pt idx="3">
                  <c:v>Gas CC+Carbon — 4x gas</c:v>
                </c:pt>
                <c:pt idx="4">
                  <c:v>OSW Standalone (NREL)</c:v>
                </c:pt>
                <c:pt idx="5">
                  <c:v>OSW+BESS $300/kWh</c:v>
                </c:pt>
                <c:pt idx="6">
                  <c:v>OSW+BESS $350/kWh</c:v>
                </c:pt>
                <c:pt idx="7">
                  <c:v>OSW+BESS $400/kWh</c:v>
                </c:pt>
              </c:strCache>
            </c:strRef>
          </c:cat>
          <c:val>
            <c:numRef>
              <c:f>Charts!$F$17:$F$24</c:f>
              <c:numCache>
                <c:formatCode>\$#,##0.00</c:formatCode>
                <c:ptCount val="8"/>
                <c:pt idx="0">
                  <c:v>125.46611812710941</c:v>
                </c:pt>
                <c:pt idx="1">
                  <c:v>161.77467529579837</c:v>
                </c:pt>
                <c:pt idx="2">
                  <c:v>198.08323246448734</c:v>
                </c:pt>
                <c:pt idx="3">
                  <c:v>234.39178963317633</c:v>
                </c:pt>
                <c:pt idx="4">
                  <c:v>167.13358956399773</c:v>
                </c:pt>
                <c:pt idx="5">
                  <c:v>207.01687464856352</c:v>
                </c:pt>
                <c:pt idx="6">
                  <c:v>212.05263833998706</c:v>
                </c:pt>
                <c:pt idx="7">
                  <c:v>217.08840203141057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7E6-4849-B909-B22D6C14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3746324"/>
        <c:axId val="74361653"/>
      </c:lineChart>
      <c:catAx>
        <c:axId val="437463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Time Horizon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74361653"/>
        <c:crosses val="autoZero"/>
        <c:auto val="1"/>
        <c:lblAlgn val="ctr"/>
        <c:lblOffset val="100"/>
        <c:noMultiLvlLbl val="0"/>
      </c:catAx>
      <c:valAx>
        <c:axId val="7436165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LCOE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4374632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Northport 20-yr LCOE: Gas CC vs OSW+BESS by Duration (Mid BESS, Baseline Gas)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'Duration Crossover'!$C$31</c:f>
              <c:strCache>
                <c:ptCount val="1"/>
                <c:pt idx="0">
                  <c:v>Gas CC
+Carbon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Crossover'!$C$32:$C$35</c:f>
              <c:numCache>
                <c:formatCode>\$#,##0.00</c:formatCode>
                <c:ptCount val="4"/>
                <c:pt idx="0">
                  <c:v>132.1887222161827</c:v>
                </c:pt>
                <c:pt idx="1">
                  <c:v>165.62688361192053</c:v>
                </c:pt>
                <c:pt idx="2">
                  <c:v>199.06504500765831</c:v>
                </c:pt>
                <c:pt idx="3">
                  <c:v>232.50320640339609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B-49FC-994E-8E2B63818596}"/>
            </c:ext>
          </c:extLst>
        </c:ser>
        <c:ser>
          <c:idx val="1"/>
          <c:order val="1"/>
          <c:tx>
            <c:strRef>
              <c:f>'Duration Crossover'!$D$31</c:f>
              <c:strCache>
                <c:ptCount val="1"/>
                <c:pt idx="0">
                  <c:v>Gas CC
No Carbon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Crossover'!$D$32:$D$35</c:f>
              <c:numCache>
                <c:formatCode>\$#,##0.00</c:formatCode>
                <c:ptCount val="4"/>
                <c:pt idx="0">
                  <c:v>118.04364331193808</c:v>
                </c:pt>
                <c:pt idx="1">
                  <c:v>151.48180470767588</c:v>
                </c:pt>
                <c:pt idx="2">
                  <c:v>184.91996610341369</c:v>
                </c:pt>
                <c:pt idx="3">
                  <c:v>218.35812749915146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B-49FC-994E-8E2B63818596}"/>
            </c:ext>
          </c:extLst>
        </c:ser>
        <c:ser>
          <c:idx val="2"/>
          <c:order val="2"/>
          <c:tx>
            <c:strRef>
              <c:f>'Duration Crossover'!$E$31</c:f>
              <c:strCache>
                <c:ptCount val="1"/>
                <c:pt idx="0">
                  <c:v>OSW Standalone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Crossover'!$E$32:$E$35</c:f>
              <c:numCache>
                <c:formatCode>\$#,##0.00</c:formatCode>
                <c:ptCount val="4"/>
                <c:pt idx="0">
                  <c:v>190.72742433692062</c:v>
                </c:pt>
                <c:pt idx="1">
                  <c:v>190.72742433692062</c:v>
                </c:pt>
                <c:pt idx="2">
                  <c:v>190.72742433692062</c:v>
                </c:pt>
                <c:pt idx="3">
                  <c:v>190.72742433692062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B-49FC-994E-8E2B63818596}"/>
            </c:ext>
          </c:extLst>
        </c:ser>
        <c:ser>
          <c:idx val="3"/>
          <c:order val="3"/>
          <c:tx>
            <c:strRef>
              <c:f>'Duration Crossover'!$F$31</c:f>
              <c:strCache>
                <c:ptCount val="1"/>
                <c:pt idx="0">
                  <c:v>OSW+BESS
4-hr</c:v>
                </c:pt>
              </c:strCache>
            </c:strRef>
          </c:tx>
          <c:spPr>
            <a:solidFill>
              <a:srgbClr val="8064A2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Crossover'!$F$32:$F$35</c:f>
              <c:numCache>
                <c:formatCode>\$#,##0.00</c:formatCode>
                <c:ptCount val="4"/>
                <c:pt idx="0">
                  <c:v>237.38762430510371</c:v>
                </c:pt>
                <c:pt idx="1">
                  <c:v>237.38762430510371</c:v>
                </c:pt>
                <c:pt idx="2">
                  <c:v>237.38762430510371</c:v>
                </c:pt>
                <c:pt idx="3">
                  <c:v>237.38762430510371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0B-49FC-994E-8E2B63818596}"/>
            </c:ext>
          </c:extLst>
        </c:ser>
        <c:ser>
          <c:idx val="4"/>
          <c:order val="4"/>
          <c:tx>
            <c:strRef>
              <c:f>'Duration Crossover'!$G$31</c:f>
              <c:strCache>
                <c:ptCount val="1"/>
                <c:pt idx="0">
                  <c:v>OSW+BESS
6-hr</c:v>
                </c:pt>
              </c:strCache>
            </c:strRef>
          </c:tx>
          <c:spPr>
            <a:solidFill>
              <a:srgbClr val="4BACC6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Crossover'!$G$32:$G$35</c:f>
              <c:numCache>
                <c:formatCode>\$#,##0.00</c:formatCode>
                <c:ptCount val="4"/>
                <c:pt idx="0">
                  <c:v>258.79424648025486</c:v>
                </c:pt>
                <c:pt idx="1">
                  <c:v>258.79424648025486</c:v>
                </c:pt>
                <c:pt idx="2">
                  <c:v>258.79424648025486</c:v>
                </c:pt>
                <c:pt idx="3">
                  <c:v>258.79424648025486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0B-49FC-994E-8E2B63818596}"/>
            </c:ext>
          </c:extLst>
        </c:ser>
        <c:ser>
          <c:idx val="5"/>
          <c:order val="5"/>
          <c:tx>
            <c:strRef>
              <c:f>'Duration Crossover'!$H$31</c:f>
              <c:strCache>
                <c:ptCount val="1"/>
                <c:pt idx="0">
                  <c:v>OSW+BESS
8-hr</c:v>
                </c:pt>
              </c:strCache>
            </c:strRef>
          </c:tx>
          <c:spPr>
            <a:solidFill>
              <a:srgbClr val="F79646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Crossover'!$B$32:$B$35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Crossover'!$H$32:$H$35</c:f>
              <c:numCache>
                <c:formatCode>\$#,##0.00</c:formatCode>
                <c:ptCount val="4"/>
                <c:pt idx="0">
                  <c:v>280.20086865540611</c:v>
                </c:pt>
                <c:pt idx="1">
                  <c:v>280.20086865540611</c:v>
                </c:pt>
                <c:pt idx="2">
                  <c:v>280.20086865540611</c:v>
                </c:pt>
                <c:pt idx="3">
                  <c:v>280.20086865540611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0B-49FC-994E-8E2B63818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28586"/>
        <c:axId val="3841526"/>
      </c:barChart>
      <c:catAx>
        <c:axId val="806285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Technology / Gas Price Scenario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3841526"/>
        <c:crosses val="autoZero"/>
        <c:auto val="1"/>
        <c:lblAlgn val="ctr"/>
        <c:lblOffset val="100"/>
        <c:noMultiLvlLbl val="0"/>
      </c:catAx>
      <c:valAx>
        <c:axId val="384152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LCOE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806285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800" b="1" u="none" strike="noStrike">
                <a:solidFill>
                  <a:srgbClr val="000000"/>
                </a:solidFill>
                <a:uFillTx/>
                <a:latin typeface="Calibri"/>
              </a:rPr>
              <a:t>Northport 40-yr LCOE: Gas CC vs OSW+BESS by Duration (Mid BESS $350/kWh)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'Duration Crossover'!$C$108</c:f>
              <c:strCache>
                <c:ptCount val="1"/>
                <c:pt idx="0">
                  <c:v>Gas CC
+Carbon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Crossover'!$C$109:$C$112</c:f>
              <c:numCache>
                <c:formatCode>\$#,##0.00</c:formatCode>
                <c:ptCount val="4"/>
                <c:pt idx="0">
                  <c:v>125.46611812710941</c:v>
                </c:pt>
                <c:pt idx="1">
                  <c:v>161.77467529579837</c:v>
                </c:pt>
                <c:pt idx="2">
                  <c:v>198.08323246448734</c:v>
                </c:pt>
                <c:pt idx="3">
                  <c:v>234.39178963317633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4-493D-BB52-372A3BBE7DD0}"/>
            </c:ext>
          </c:extLst>
        </c:ser>
        <c:ser>
          <c:idx val="1"/>
          <c:order val="1"/>
          <c:tx>
            <c:strRef>
              <c:f>'Duration Crossover'!$D$108</c:f>
              <c:strCache>
                <c:ptCount val="1"/>
                <c:pt idx="0">
                  <c:v>Gas CC
No Carbon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Crossover'!$D$109:$D$112</c:f>
              <c:numCache>
                <c:formatCode>\$#,##0.00</c:formatCode>
                <c:ptCount val="4"/>
                <c:pt idx="0">
                  <c:v>107.18993102027339</c:v>
                </c:pt>
                <c:pt idx="1">
                  <c:v>143.49848818896234</c:v>
                </c:pt>
                <c:pt idx="2">
                  <c:v>179.80704535765133</c:v>
                </c:pt>
                <c:pt idx="3">
                  <c:v>216.1156025263403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4-493D-BB52-372A3BBE7DD0}"/>
            </c:ext>
          </c:extLst>
        </c:ser>
        <c:ser>
          <c:idx val="2"/>
          <c:order val="2"/>
          <c:tx>
            <c:strRef>
              <c:f>'Duration Crossover'!$E$108</c:f>
              <c:strCache>
                <c:ptCount val="1"/>
                <c:pt idx="0">
                  <c:v>OSW Standalone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Crossover'!$E$109:$E$112</c:f>
              <c:numCache>
                <c:formatCode>\$#,##0.00</c:formatCode>
                <c:ptCount val="4"/>
                <c:pt idx="0">
                  <c:v>167.13358956399773</c:v>
                </c:pt>
                <c:pt idx="1">
                  <c:v>167.13358956399773</c:v>
                </c:pt>
                <c:pt idx="2">
                  <c:v>167.13358956399773</c:v>
                </c:pt>
                <c:pt idx="3">
                  <c:v>167.13358956399773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4-493D-BB52-372A3BBE7DD0}"/>
            </c:ext>
          </c:extLst>
        </c:ser>
        <c:ser>
          <c:idx val="3"/>
          <c:order val="3"/>
          <c:tx>
            <c:strRef>
              <c:f>'Duration Crossover'!$F$108</c:f>
              <c:strCache>
                <c:ptCount val="1"/>
                <c:pt idx="0">
                  <c:v>OSW+BESS
4-hr</c:v>
                </c:pt>
              </c:strCache>
            </c:strRef>
          </c:tx>
          <c:spPr>
            <a:solidFill>
              <a:srgbClr val="8064A2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Crossover'!$F$109:$F$112</c:f>
              <c:numCache>
                <c:formatCode>\$#,##0.00</c:formatCode>
                <c:ptCount val="4"/>
                <c:pt idx="0">
                  <c:v>212.05263833998706</c:v>
                </c:pt>
                <c:pt idx="1">
                  <c:v>212.05263833998706</c:v>
                </c:pt>
                <c:pt idx="2">
                  <c:v>212.05263833998706</c:v>
                </c:pt>
                <c:pt idx="3">
                  <c:v>212.05263833998706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4-493D-BB52-372A3BBE7DD0}"/>
            </c:ext>
          </c:extLst>
        </c:ser>
        <c:ser>
          <c:idx val="4"/>
          <c:order val="4"/>
          <c:tx>
            <c:strRef>
              <c:f>'Duration Crossover'!$G$108</c:f>
              <c:strCache>
                <c:ptCount val="1"/>
                <c:pt idx="0">
                  <c:v>OSW+BESS
6-hr</c:v>
                </c:pt>
              </c:strCache>
            </c:strRef>
          </c:tx>
          <c:spPr>
            <a:solidFill>
              <a:srgbClr val="4BACC6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Crossover'!$G$109:$G$112</c:f>
              <c:numCache>
                <c:formatCode>\$#,##0.00</c:formatCode>
                <c:ptCount val="4"/>
                <c:pt idx="0">
                  <c:v>229.67781125996947</c:v>
                </c:pt>
                <c:pt idx="1">
                  <c:v>229.67781125996947</c:v>
                </c:pt>
                <c:pt idx="2">
                  <c:v>229.67781125996947</c:v>
                </c:pt>
                <c:pt idx="3">
                  <c:v>229.67781125996947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54-493D-BB52-372A3BBE7DD0}"/>
            </c:ext>
          </c:extLst>
        </c:ser>
        <c:ser>
          <c:idx val="5"/>
          <c:order val="5"/>
          <c:tx>
            <c:strRef>
              <c:f>'Duration Crossover'!$H$108</c:f>
              <c:strCache>
                <c:ptCount val="1"/>
                <c:pt idx="0">
                  <c:v>OSW+BESS
8-hr</c:v>
                </c:pt>
              </c:strCache>
            </c:strRef>
          </c:tx>
          <c:spPr>
            <a:solidFill>
              <a:srgbClr val="F79646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'Duration Crossover'!$B$109:$B$112</c:f>
              <c:strCache>
                <c:ptCount val="4"/>
                <c:pt idx="0">
                  <c:v>① Baseline ~$4.50/MMBtu (1×)</c:v>
                </c:pt>
                <c:pt idx="1">
                  <c:v>② Doubled  ~$9.00/MMBtu (2×)</c:v>
                </c:pt>
                <c:pt idx="2">
                  <c:v>③ Tripled ~$13.50/MMBtu (3×)</c:v>
                </c:pt>
                <c:pt idx="3">
                  <c:v>④ Quadrupled ~$18.00/MMBtu (4×)</c:v>
                </c:pt>
              </c:strCache>
            </c:strRef>
          </c:cat>
          <c:val>
            <c:numRef>
              <c:f>'Duration Crossover'!$H$109:$H$112</c:f>
              <c:numCache>
                <c:formatCode>\$#,##0.00</c:formatCode>
                <c:ptCount val="4"/>
                <c:pt idx="0">
                  <c:v>247.30298417995189</c:v>
                </c:pt>
                <c:pt idx="1">
                  <c:v>247.30298417995189</c:v>
                </c:pt>
                <c:pt idx="2">
                  <c:v>247.30298417995189</c:v>
                </c:pt>
                <c:pt idx="3">
                  <c:v>247.30298417995189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54-493D-BB52-372A3BBE7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2092"/>
        <c:axId val="19370804"/>
      </c:barChart>
      <c:catAx>
        <c:axId val="24120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Gas Price Scenario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19370804"/>
        <c:crosses val="autoZero"/>
        <c:auto val="1"/>
        <c:lblAlgn val="ctr"/>
        <c:lblOffset val="100"/>
        <c:noMultiLvlLbl val="0"/>
      </c:catAx>
      <c:valAx>
        <c:axId val="1937080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en-US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LCOE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en-US"/>
          </a:p>
        </c:txPr>
        <c:crossAx val="241209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3960</xdr:rowOff>
    </xdr:from>
    <xdr:to>
      <xdr:col>16</xdr:col>
      <xdr:colOff>185760</xdr:colOff>
      <xdr:row>56</xdr:row>
      <xdr:rowOff>47520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26</xdr:row>
      <xdr:rowOff>3960</xdr:rowOff>
    </xdr:from>
    <xdr:to>
      <xdr:col>28</xdr:col>
      <xdr:colOff>186120</xdr:colOff>
      <xdr:row>56</xdr:row>
      <xdr:rowOff>47520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11</xdr:col>
      <xdr:colOff>70200</xdr:colOff>
      <xdr:row>74</xdr:row>
      <xdr:rowOff>44280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114</xdr:row>
      <xdr:rowOff>0</xdr:rowOff>
    </xdr:from>
    <xdr:to>
      <xdr:col>11</xdr:col>
      <xdr:colOff>70560</xdr:colOff>
      <xdr:row>142</xdr:row>
      <xdr:rowOff>111240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9"/>
  <sheetViews>
    <sheetView showGridLines="0" zoomScaleNormal="100" workbookViewId="0">
      <pane xSplit="1" ySplit="6" topLeftCell="B14" activePane="bottomRight" state="frozen"/>
      <selection pane="topRight" activeCell="B1" sqref="B1"/>
      <selection pane="bottomLeft" activeCell="A7" sqref="A7"/>
      <selection pane="bottomRight" activeCell="B2" sqref="B2:M3"/>
    </sheetView>
  </sheetViews>
  <sheetFormatPr defaultColWidth="8.7109375" defaultRowHeight="15" customHeight="1" x14ac:dyDescent="0.25"/>
  <cols>
    <col min="1" max="1" width="3" customWidth="1"/>
    <col min="2" max="2" width="28" customWidth="1"/>
    <col min="3" max="13" width="14" customWidth="1"/>
  </cols>
  <sheetData>
    <row r="2" spans="2:13" ht="36" customHeight="1" x14ac:dyDescent="0.25">
      <c r="B2" s="163" t="s">
        <v>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2:13" ht="18" customHeight="1" x14ac:dyDescent="0.25">
      <c r="B3" s="164" t="s">
        <v>1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5" spans="2:13" ht="19.5" customHeight="1" x14ac:dyDescent="0.25">
      <c r="B5" s="157" t="s">
        <v>2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2:13" ht="36" customHeight="1" x14ac:dyDescent="0.25"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</row>
    <row r="7" spans="2:13" ht="19.5" customHeight="1" x14ac:dyDescent="0.25">
      <c r="B7" s="2" t="s">
        <v>13</v>
      </c>
      <c r="C7" s="3">
        <f>'Gas Plant LCOE'!D8</f>
        <v>132.1887222161827</v>
      </c>
      <c r="D7" s="4">
        <f>'Gas Plant LCOE'!I8</f>
        <v>118.04364331193808</v>
      </c>
      <c r="E7" s="3">
        <f>'Offshore Wind LCOE'!D19</f>
        <v>190.72742433692062</v>
      </c>
      <c r="F7" s="5">
        <f>'Offshore Wind LCOE'!I27</f>
        <v>231.27144654077483</v>
      </c>
      <c r="G7" s="5">
        <f>'Offshore Wind LCOE'!I28</f>
        <v>237.38762430510371</v>
      </c>
      <c r="H7" s="5">
        <f>'Offshore Wind LCOE'!I29</f>
        <v>243.50380206943265</v>
      </c>
      <c r="I7" s="6">
        <f>C7-E7</f>
        <v>-58.538702120737923</v>
      </c>
      <c r="J7" s="6">
        <f>C7-G7</f>
        <v>-105.19890208892102</v>
      </c>
      <c r="K7" s="7" t="str">
        <f>IF(C7&lt;E7,IF(C7&lt;G7,"Gas CC cheapest","OSW+BESS cheapest"),IF(E7&lt;G7,"OSW standalone cheapest","OSW+BESS cheapest"))</f>
        <v>Gas CC cheapest</v>
      </c>
    </row>
    <row r="8" spans="2:13" ht="19.5" customHeight="1" x14ac:dyDescent="0.25">
      <c r="B8" s="8" t="s">
        <v>14</v>
      </c>
      <c r="C8" s="9">
        <f>'Gas Plant LCOE'!D9</f>
        <v>165.62688361192053</v>
      </c>
      <c r="D8" s="4">
        <f>'Gas Plant LCOE'!I9</f>
        <v>151.48180470767588</v>
      </c>
      <c r="E8" s="9">
        <f>'Offshore Wind LCOE'!D19</f>
        <v>190.72742433692062</v>
      </c>
      <c r="F8" s="5">
        <f>'Offshore Wind LCOE'!I27</f>
        <v>231.27144654077483</v>
      </c>
      <c r="G8" s="5">
        <f>'Offshore Wind LCOE'!I28</f>
        <v>237.38762430510371</v>
      </c>
      <c r="H8" s="5">
        <f>'Offshore Wind LCOE'!I29</f>
        <v>243.50380206943265</v>
      </c>
      <c r="I8" s="10">
        <f>C8-E8</f>
        <v>-25.100540725000087</v>
      </c>
      <c r="J8" s="10">
        <f>C8-G8</f>
        <v>-71.76074069318318</v>
      </c>
      <c r="K8" s="11" t="str">
        <f>IF(C8&lt;E8,IF(C8&lt;G8,"Gas CC cheapest","OSW+BESS cheapest"),IF(E8&lt;G8,"OSW standalone cheapest","OSW+BESS cheapest"))</f>
        <v>Gas CC cheapest</v>
      </c>
    </row>
    <row r="9" spans="2:13" ht="19.5" customHeight="1" x14ac:dyDescent="0.25">
      <c r="B9" s="2" t="s">
        <v>15</v>
      </c>
      <c r="C9" s="3">
        <f>'Gas Plant LCOE'!D10</f>
        <v>199.06504500765831</v>
      </c>
      <c r="D9" s="4">
        <f>'Gas Plant LCOE'!I10</f>
        <v>184.91996610341369</v>
      </c>
      <c r="E9" s="3">
        <f>'Offshore Wind LCOE'!D19</f>
        <v>190.72742433692062</v>
      </c>
      <c r="F9" s="5">
        <f>'Offshore Wind LCOE'!I27</f>
        <v>231.27144654077483</v>
      </c>
      <c r="G9" s="5">
        <f>'Offshore Wind LCOE'!I28</f>
        <v>237.38762430510371</v>
      </c>
      <c r="H9" s="5">
        <f>'Offshore Wind LCOE'!I29</f>
        <v>243.50380206943265</v>
      </c>
      <c r="I9" s="6">
        <f>C9-E9</f>
        <v>8.3376206707376923</v>
      </c>
      <c r="J9" s="6">
        <f>C9-G9</f>
        <v>-38.322579297445401</v>
      </c>
      <c r="K9" s="7" t="str">
        <f>IF(C9&lt;E9,IF(C9&lt;G9,"Gas CC cheapest","OSW+BESS cheapest"),IF(E9&lt;G9,"OSW standalone cheapest","OSW+BESS cheapest"))</f>
        <v>OSW standalone cheapest</v>
      </c>
    </row>
    <row r="10" spans="2:13" ht="19.5" customHeight="1" x14ac:dyDescent="0.25">
      <c r="B10" s="8" t="s">
        <v>16</v>
      </c>
      <c r="C10" s="9">
        <f>'Gas Plant LCOE'!D11</f>
        <v>232.50320640339609</v>
      </c>
      <c r="D10" s="4">
        <f>'Gas Plant LCOE'!I11</f>
        <v>218.35812749915146</v>
      </c>
      <c r="E10" s="9">
        <f>'Offshore Wind LCOE'!D19</f>
        <v>190.72742433692062</v>
      </c>
      <c r="F10" s="5">
        <f>'Offshore Wind LCOE'!I27</f>
        <v>231.27144654077483</v>
      </c>
      <c r="G10" s="5">
        <f>'Offshore Wind LCOE'!I28</f>
        <v>237.38762430510371</v>
      </c>
      <c r="H10" s="5">
        <f>'Offshore Wind LCOE'!I29</f>
        <v>243.50380206943265</v>
      </c>
      <c r="I10" s="10">
        <f>C10-E10</f>
        <v>41.775782066475472</v>
      </c>
      <c r="J10" s="10">
        <f>C10-G10</f>
        <v>-4.8844179017076215</v>
      </c>
      <c r="K10" s="11" t="str">
        <f>IF(C10&lt;E10,IF(C10&lt;G10,"Gas CC cheapest","OSW+BESS cheapest"),IF(E10&lt;G10,"OSW standalone cheapest","OSW+BESS cheapest"))</f>
        <v>OSW standalone cheapest</v>
      </c>
    </row>
    <row r="13" spans="2:13" ht="24" customHeight="1" x14ac:dyDescent="0.25">
      <c r="B13" s="165" t="s">
        <v>17</v>
      </c>
      <c r="C13" s="165"/>
      <c r="D13" s="165"/>
      <c r="E13" s="165"/>
      <c r="F13" s="165"/>
      <c r="G13" s="165"/>
      <c r="H13" s="165"/>
      <c r="I13" s="165"/>
      <c r="J13" s="165"/>
      <c r="K13" s="165"/>
    </row>
    <row r="14" spans="2:13" ht="36" customHeight="1" x14ac:dyDescent="0.25">
      <c r="B14" s="12" t="s">
        <v>18</v>
      </c>
      <c r="C14" s="162" t="s">
        <v>19</v>
      </c>
      <c r="D14" s="162"/>
      <c r="E14" s="162"/>
      <c r="F14" s="162"/>
      <c r="G14" s="162"/>
      <c r="H14" s="162"/>
      <c r="I14" s="162"/>
      <c r="J14" s="162"/>
      <c r="K14" s="162"/>
    </row>
    <row r="15" spans="2:13" ht="36" customHeight="1" x14ac:dyDescent="0.25">
      <c r="B15" s="13" t="s">
        <v>20</v>
      </c>
      <c r="C15" s="161" t="s">
        <v>21</v>
      </c>
      <c r="D15" s="161"/>
      <c r="E15" s="161"/>
      <c r="F15" s="161"/>
      <c r="G15" s="161"/>
      <c r="H15" s="161"/>
      <c r="I15" s="161"/>
      <c r="J15" s="161"/>
      <c r="K15" s="161"/>
    </row>
    <row r="16" spans="2:13" ht="36" customHeight="1" x14ac:dyDescent="0.25">
      <c r="B16" s="12" t="s">
        <v>22</v>
      </c>
      <c r="C16" s="162" t="s">
        <v>23</v>
      </c>
      <c r="D16" s="162"/>
      <c r="E16" s="162"/>
      <c r="F16" s="162"/>
      <c r="G16" s="162"/>
      <c r="H16" s="162"/>
      <c r="I16" s="162"/>
      <c r="J16" s="162"/>
      <c r="K16" s="162"/>
    </row>
    <row r="17" spans="2:11" ht="36" customHeight="1" x14ac:dyDescent="0.25">
      <c r="B17" s="13" t="s">
        <v>24</v>
      </c>
      <c r="C17" s="161" t="s">
        <v>25</v>
      </c>
      <c r="D17" s="161"/>
      <c r="E17" s="161"/>
      <c r="F17" s="161"/>
      <c r="G17" s="161"/>
      <c r="H17" s="161"/>
      <c r="I17" s="161"/>
      <c r="J17" s="161"/>
      <c r="K17" s="161"/>
    </row>
    <row r="18" spans="2:11" ht="36" customHeight="1" x14ac:dyDescent="0.25">
      <c r="B18" s="12" t="s">
        <v>26</v>
      </c>
      <c r="C18" s="162" t="s">
        <v>27</v>
      </c>
      <c r="D18" s="162"/>
      <c r="E18" s="162"/>
      <c r="F18" s="162"/>
      <c r="G18" s="162"/>
      <c r="H18" s="162"/>
      <c r="I18" s="162"/>
      <c r="J18" s="162"/>
      <c r="K18" s="162"/>
    </row>
    <row r="19" spans="2:11" ht="36" customHeight="1" x14ac:dyDescent="0.25">
      <c r="B19" s="13" t="s">
        <v>28</v>
      </c>
      <c r="C19" s="161" t="s">
        <v>29</v>
      </c>
      <c r="D19" s="161"/>
      <c r="E19" s="161"/>
      <c r="F19" s="161"/>
      <c r="G19" s="161"/>
      <c r="H19" s="161"/>
      <c r="I19" s="161"/>
      <c r="J19" s="161"/>
      <c r="K19" s="161"/>
    </row>
  </sheetData>
  <mergeCells count="10">
    <mergeCell ref="B2:M2"/>
    <mergeCell ref="B3:M3"/>
    <mergeCell ref="B5:M5"/>
    <mergeCell ref="B13:K13"/>
    <mergeCell ref="C14:K14"/>
    <mergeCell ref="C15:K15"/>
    <mergeCell ref="C16:K16"/>
    <mergeCell ref="C17:K17"/>
    <mergeCell ref="C18:K18"/>
    <mergeCell ref="C19:K1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9"/>
  <sheetViews>
    <sheetView showGridLine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8.7109375" defaultRowHeight="15" customHeight="1" x14ac:dyDescent="0.25"/>
  <cols>
    <col min="1" max="1" width="3" customWidth="1"/>
    <col min="2" max="2" width="32" customWidth="1"/>
    <col min="3" max="3" width="38" customWidth="1"/>
    <col min="4" max="5" width="14" customWidth="1"/>
    <col min="6" max="6" width="52" customWidth="1"/>
  </cols>
  <sheetData>
    <row r="1" spans="2:8" ht="7.5" customHeight="1" x14ac:dyDescent="0.25"/>
    <row r="2" spans="2:8" ht="31.5" customHeight="1" x14ac:dyDescent="0.25">
      <c r="B2" s="166" t="s">
        <v>30</v>
      </c>
      <c r="C2" s="166"/>
      <c r="D2" s="166"/>
      <c r="E2" s="166"/>
      <c r="F2" s="166"/>
      <c r="G2" s="166"/>
      <c r="H2" s="166"/>
    </row>
    <row r="3" spans="2:8" ht="18" customHeight="1" x14ac:dyDescent="0.25">
      <c r="B3" s="164" t="s">
        <v>31</v>
      </c>
      <c r="C3" s="164"/>
      <c r="D3" s="164"/>
      <c r="E3" s="164"/>
      <c r="F3" s="164"/>
      <c r="G3" s="164"/>
      <c r="H3" s="164"/>
    </row>
    <row r="5" spans="2:8" ht="21.75" customHeight="1" x14ac:dyDescent="0.25">
      <c r="B5" s="14" t="s">
        <v>32</v>
      </c>
      <c r="C5" s="14" t="s">
        <v>33</v>
      </c>
      <c r="D5" s="14" t="s">
        <v>34</v>
      </c>
      <c r="E5" s="14" t="s">
        <v>35</v>
      </c>
      <c r="F5" s="14" t="s">
        <v>36</v>
      </c>
    </row>
    <row r="6" spans="2:8" ht="16.5" customHeight="1" x14ac:dyDescent="0.25">
      <c r="B6" s="12" t="s">
        <v>37</v>
      </c>
      <c r="C6" s="2" t="s">
        <v>38</v>
      </c>
      <c r="D6" s="15">
        <v>3.52</v>
      </c>
      <c r="E6" s="16" t="s">
        <v>39</v>
      </c>
      <c r="F6" s="17" t="s">
        <v>40</v>
      </c>
    </row>
    <row r="7" spans="2:8" ht="16.5" customHeight="1" x14ac:dyDescent="0.25">
      <c r="B7" s="13" t="s">
        <v>37</v>
      </c>
      <c r="C7" s="8" t="s">
        <v>41</v>
      </c>
      <c r="D7" s="15">
        <v>0.98</v>
      </c>
      <c r="E7" s="18" t="s">
        <v>39</v>
      </c>
      <c r="F7" s="19" t="s">
        <v>42</v>
      </c>
    </row>
    <row r="8" spans="2:8" ht="16.5" customHeight="1" x14ac:dyDescent="0.25">
      <c r="B8" s="12" t="s">
        <v>37</v>
      </c>
      <c r="C8" s="2" t="s">
        <v>43</v>
      </c>
      <c r="D8" s="20">
        <f>D6+D7</f>
        <v>4.5</v>
      </c>
      <c r="E8" s="16" t="s">
        <v>39</v>
      </c>
      <c r="F8" s="17" t="s">
        <v>44</v>
      </c>
    </row>
    <row r="9" spans="2:8" ht="16.5" customHeight="1" x14ac:dyDescent="0.25">
      <c r="B9" s="13" t="s">
        <v>37</v>
      </c>
      <c r="C9" s="8" t="s">
        <v>45</v>
      </c>
      <c r="D9" s="20">
        <f>D8</f>
        <v>4.5</v>
      </c>
      <c r="E9" s="18" t="s">
        <v>39</v>
      </c>
      <c r="F9" s="19" t="s">
        <v>46</v>
      </c>
    </row>
    <row r="10" spans="2:8" ht="16.5" customHeight="1" x14ac:dyDescent="0.25">
      <c r="B10" s="12" t="s">
        <v>37</v>
      </c>
      <c r="C10" s="2" t="s">
        <v>47</v>
      </c>
      <c r="D10" s="20">
        <f>D8*2</f>
        <v>9</v>
      </c>
      <c r="E10" s="16" t="s">
        <v>39</v>
      </c>
      <c r="F10" s="17" t="s">
        <v>48</v>
      </c>
    </row>
    <row r="11" spans="2:8" ht="16.5" customHeight="1" x14ac:dyDescent="0.25">
      <c r="B11" s="13" t="s">
        <v>37</v>
      </c>
      <c r="C11" s="8" t="s">
        <v>49</v>
      </c>
      <c r="D11" s="20">
        <f>D8*3</f>
        <v>13.5</v>
      </c>
      <c r="E11" s="18" t="s">
        <v>39</v>
      </c>
      <c r="F11" s="19" t="s">
        <v>50</v>
      </c>
    </row>
    <row r="12" spans="2:8" ht="16.5" customHeight="1" x14ac:dyDescent="0.25">
      <c r="B12" s="12" t="s">
        <v>37</v>
      </c>
      <c r="C12" s="2" t="s">
        <v>51</v>
      </c>
      <c r="D12" s="20">
        <f>D8*4</f>
        <v>18</v>
      </c>
      <c r="E12" s="16" t="s">
        <v>39</v>
      </c>
      <c r="F12" s="17" t="s">
        <v>52</v>
      </c>
    </row>
    <row r="13" spans="2:8" ht="16.5" customHeight="1" x14ac:dyDescent="0.25">
      <c r="B13" s="13" t="s">
        <v>37</v>
      </c>
      <c r="C13" s="8" t="s">
        <v>53</v>
      </c>
      <c r="D13" s="21">
        <v>0.02</v>
      </c>
      <c r="E13" s="18" t="s">
        <v>54</v>
      </c>
      <c r="F13" s="19" t="s">
        <v>55</v>
      </c>
    </row>
    <row r="14" spans="2:8" ht="16.5" customHeight="1" x14ac:dyDescent="0.25">
      <c r="B14" s="12" t="s">
        <v>56</v>
      </c>
      <c r="C14" s="2" t="s">
        <v>57</v>
      </c>
      <c r="D14" s="22">
        <v>1548</v>
      </c>
      <c r="E14" s="16" t="s">
        <v>58</v>
      </c>
      <c r="F14" s="17" t="s">
        <v>59</v>
      </c>
    </row>
    <row r="15" spans="2:8" ht="16.5" customHeight="1" x14ac:dyDescent="0.25">
      <c r="B15" s="13" t="s">
        <v>56</v>
      </c>
      <c r="C15" s="8" t="s">
        <v>60</v>
      </c>
      <c r="D15" s="23">
        <v>10800</v>
      </c>
      <c r="E15" s="18" t="s">
        <v>61</v>
      </c>
      <c r="F15" s="19" t="s">
        <v>62</v>
      </c>
    </row>
    <row r="16" spans="2:8" ht="16.5" customHeight="1" x14ac:dyDescent="0.25">
      <c r="B16" s="12" t="s">
        <v>56</v>
      </c>
      <c r="C16" s="2" t="s">
        <v>63</v>
      </c>
      <c r="D16" s="24">
        <v>0.15</v>
      </c>
      <c r="E16" s="16" t="s">
        <v>54</v>
      </c>
      <c r="F16" s="17" t="s">
        <v>64</v>
      </c>
    </row>
    <row r="17" spans="2:6" ht="16.5" customHeight="1" x14ac:dyDescent="0.25">
      <c r="B17" s="13" t="s">
        <v>56</v>
      </c>
      <c r="C17" s="8" t="s">
        <v>65</v>
      </c>
      <c r="D17" s="23">
        <v>1200</v>
      </c>
      <c r="E17" s="18" t="s">
        <v>58</v>
      </c>
      <c r="F17" s="19" t="s">
        <v>66</v>
      </c>
    </row>
    <row r="18" spans="2:6" ht="16.5" customHeight="1" x14ac:dyDescent="0.25">
      <c r="B18" s="12" t="s">
        <v>56</v>
      </c>
      <c r="C18" s="2" t="s">
        <v>67</v>
      </c>
      <c r="D18" s="22">
        <v>6300</v>
      </c>
      <c r="E18" s="16" t="s">
        <v>61</v>
      </c>
      <c r="F18" s="17" t="s">
        <v>68</v>
      </c>
    </row>
    <row r="19" spans="2:6" ht="16.5" customHeight="1" x14ac:dyDescent="0.25">
      <c r="B19" s="13" t="s">
        <v>56</v>
      </c>
      <c r="C19" s="8" t="s">
        <v>69</v>
      </c>
      <c r="D19" s="25">
        <v>2200</v>
      </c>
      <c r="E19" s="18" t="s">
        <v>70</v>
      </c>
      <c r="F19" s="19" t="s">
        <v>71</v>
      </c>
    </row>
    <row r="20" spans="2:6" ht="16.5" customHeight="1" x14ac:dyDescent="0.25">
      <c r="B20" s="12" t="s">
        <v>56</v>
      </c>
      <c r="C20" s="2" t="s">
        <v>72</v>
      </c>
      <c r="D20" s="26">
        <f>D19/1000*D17*1000</f>
        <v>2640000</v>
      </c>
      <c r="E20" s="16" t="s">
        <v>73</v>
      </c>
      <c r="F20" s="17" t="s">
        <v>74</v>
      </c>
    </row>
    <row r="21" spans="2:6" ht="16.5" customHeight="1" x14ac:dyDescent="0.25">
      <c r="B21" s="13" t="s">
        <v>56</v>
      </c>
      <c r="C21" s="8" t="s">
        <v>75</v>
      </c>
      <c r="D21" s="27">
        <v>0.35</v>
      </c>
      <c r="E21" s="18" t="s">
        <v>54</v>
      </c>
      <c r="F21" s="19" t="s">
        <v>76</v>
      </c>
    </row>
    <row r="22" spans="2:6" ht="16.5" customHeight="1" x14ac:dyDescent="0.25">
      <c r="B22" s="12" t="s">
        <v>56</v>
      </c>
      <c r="C22" s="2" t="s">
        <v>77</v>
      </c>
      <c r="D22" s="28">
        <v>12</v>
      </c>
      <c r="E22" s="16" t="s">
        <v>78</v>
      </c>
      <c r="F22" s="17" t="s">
        <v>79</v>
      </c>
    </row>
    <row r="23" spans="2:6" ht="16.5" customHeight="1" x14ac:dyDescent="0.25">
      <c r="B23" s="13" t="s">
        <v>56</v>
      </c>
      <c r="C23" s="8" t="s">
        <v>80</v>
      </c>
      <c r="D23" s="29">
        <v>3</v>
      </c>
      <c r="E23" s="18" t="s">
        <v>81</v>
      </c>
      <c r="F23" s="19" t="s">
        <v>82</v>
      </c>
    </row>
    <row r="24" spans="2:6" ht="16.5" customHeight="1" x14ac:dyDescent="0.25">
      <c r="B24" s="12" t="s">
        <v>83</v>
      </c>
      <c r="C24" s="2" t="s">
        <v>57</v>
      </c>
      <c r="D24" s="22">
        <v>376</v>
      </c>
      <c r="E24" s="16" t="s">
        <v>58</v>
      </c>
      <c r="F24" s="17" t="s">
        <v>84</v>
      </c>
    </row>
    <row r="25" spans="2:6" ht="16.5" customHeight="1" x14ac:dyDescent="0.25">
      <c r="B25" s="13" t="s">
        <v>83</v>
      </c>
      <c r="C25" s="8" t="s">
        <v>60</v>
      </c>
      <c r="D25" s="23">
        <v>11500</v>
      </c>
      <c r="E25" s="18" t="s">
        <v>61</v>
      </c>
      <c r="F25" s="19" t="s">
        <v>85</v>
      </c>
    </row>
    <row r="26" spans="2:6" ht="16.5" customHeight="1" x14ac:dyDescent="0.25">
      <c r="B26" s="12" t="s">
        <v>83</v>
      </c>
      <c r="C26" s="2" t="s">
        <v>65</v>
      </c>
      <c r="D26" s="22">
        <v>380</v>
      </c>
      <c r="E26" s="16" t="s">
        <v>58</v>
      </c>
      <c r="F26" s="17" t="s">
        <v>86</v>
      </c>
    </row>
    <row r="27" spans="2:6" ht="16.5" customHeight="1" x14ac:dyDescent="0.25">
      <c r="B27" s="13" t="s">
        <v>83</v>
      </c>
      <c r="C27" s="8" t="s">
        <v>67</v>
      </c>
      <c r="D27" s="23">
        <v>6300</v>
      </c>
      <c r="E27" s="18" t="s">
        <v>61</v>
      </c>
      <c r="F27" s="19" t="s">
        <v>68</v>
      </c>
    </row>
    <row r="28" spans="2:6" ht="16.5" customHeight="1" x14ac:dyDescent="0.25">
      <c r="B28" s="12" t="s">
        <v>83</v>
      </c>
      <c r="C28" s="2" t="s">
        <v>69</v>
      </c>
      <c r="D28" s="25">
        <v>2300</v>
      </c>
      <c r="E28" s="16" t="s">
        <v>70</v>
      </c>
      <c r="F28" s="17" t="s">
        <v>87</v>
      </c>
    </row>
    <row r="29" spans="2:6" ht="16.5" customHeight="1" x14ac:dyDescent="0.25">
      <c r="B29" s="13" t="s">
        <v>83</v>
      </c>
      <c r="C29" s="8" t="s">
        <v>72</v>
      </c>
      <c r="D29" s="26">
        <f>D28/1000*D26*1000</f>
        <v>873999.99999999988</v>
      </c>
      <c r="E29" s="18" t="s">
        <v>73</v>
      </c>
      <c r="F29" s="19" t="s">
        <v>88</v>
      </c>
    </row>
    <row r="30" spans="2:6" ht="16.5" customHeight="1" x14ac:dyDescent="0.25">
      <c r="B30" s="12" t="s">
        <v>83</v>
      </c>
      <c r="C30" s="2" t="s">
        <v>75</v>
      </c>
      <c r="D30" s="27">
        <v>0.35</v>
      </c>
      <c r="E30" s="16" t="s">
        <v>54</v>
      </c>
      <c r="F30" s="17" t="s">
        <v>89</v>
      </c>
    </row>
    <row r="31" spans="2:6" ht="16.5" customHeight="1" x14ac:dyDescent="0.25">
      <c r="B31" s="13" t="s">
        <v>83</v>
      </c>
      <c r="C31" s="8" t="s">
        <v>77</v>
      </c>
      <c r="D31" s="30">
        <v>12</v>
      </c>
      <c r="E31" s="18" t="s">
        <v>78</v>
      </c>
      <c r="F31" s="19" t="s">
        <v>79</v>
      </c>
    </row>
    <row r="32" spans="2:6" ht="16.5" customHeight="1" x14ac:dyDescent="0.25">
      <c r="B32" s="12" t="s">
        <v>83</v>
      </c>
      <c r="C32" s="2" t="s">
        <v>80</v>
      </c>
      <c r="D32" s="31">
        <v>3</v>
      </c>
      <c r="E32" s="16" t="s">
        <v>81</v>
      </c>
      <c r="F32" s="17" t="s">
        <v>82</v>
      </c>
    </row>
    <row r="33" spans="2:6" ht="16.5" customHeight="1" x14ac:dyDescent="0.25">
      <c r="B33" s="13" t="s">
        <v>90</v>
      </c>
      <c r="C33" s="8" t="s">
        <v>57</v>
      </c>
      <c r="D33" s="23">
        <v>376</v>
      </c>
      <c r="E33" s="18" t="s">
        <v>58</v>
      </c>
      <c r="F33" s="19" t="s">
        <v>91</v>
      </c>
    </row>
    <row r="34" spans="2:6" ht="16.5" customHeight="1" x14ac:dyDescent="0.25">
      <c r="B34" s="12" t="s">
        <v>90</v>
      </c>
      <c r="C34" s="2" t="s">
        <v>60</v>
      </c>
      <c r="D34" s="22">
        <v>12000</v>
      </c>
      <c r="E34" s="16" t="s">
        <v>61</v>
      </c>
      <c r="F34" s="17" t="s">
        <v>92</v>
      </c>
    </row>
    <row r="35" spans="2:6" ht="16.5" customHeight="1" x14ac:dyDescent="0.25">
      <c r="B35" s="13" t="s">
        <v>90</v>
      </c>
      <c r="C35" s="8" t="s">
        <v>65</v>
      </c>
      <c r="D35" s="23">
        <v>400</v>
      </c>
      <c r="E35" s="18" t="s">
        <v>58</v>
      </c>
      <c r="F35" s="19" t="s">
        <v>93</v>
      </c>
    </row>
    <row r="36" spans="2:6" ht="16.5" customHeight="1" x14ac:dyDescent="0.25">
      <c r="B36" s="12" t="s">
        <v>90</v>
      </c>
      <c r="C36" s="2" t="s">
        <v>67</v>
      </c>
      <c r="D36" s="22">
        <v>6300</v>
      </c>
      <c r="E36" s="16" t="s">
        <v>61</v>
      </c>
      <c r="F36" s="17" t="s">
        <v>94</v>
      </c>
    </row>
    <row r="37" spans="2:6" ht="16.5" customHeight="1" x14ac:dyDescent="0.25">
      <c r="B37" s="13" t="s">
        <v>90</v>
      </c>
      <c r="C37" s="8" t="s">
        <v>69</v>
      </c>
      <c r="D37" s="25">
        <v>2200</v>
      </c>
      <c r="E37" s="18" t="s">
        <v>70</v>
      </c>
      <c r="F37" s="19" t="s">
        <v>95</v>
      </c>
    </row>
    <row r="38" spans="2:6" ht="16.5" customHeight="1" x14ac:dyDescent="0.25">
      <c r="B38" s="12" t="s">
        <v>90</v>
      </c>
      <c r="C38" s="2" t="s">
        <v>72</v>
      </c>
      <c r="D38" s="26">
        <f>D37/1000*D35*1000</f>
        <v>880000.00000000012</v>
      </c>
      <c r="E38" s="16" t="s">
        <v>73</v>
      </c>
      <c r="F38" s="17" t="s">
        <v>96</v>
      </c>
    </row>
    <row r="39" spans="2:6" ht="16.5" customHeight="1" x14ac:dyDescent="0.25">
      <c r="B39" s="13" t="s">
        <v>90</v>
      </c>
      <c r="C39" s="8" t="s">
        <v>75</v>
      </c>
      <c r="D39" s="27">
        <v>0.35</v>
      </c>
      <c r="E39" s="18" t="s">
        <v>54</v>
      </c>
      <c r="F39" s="19" t="s">
        <v>89</v>
      </c>
    </row>
    <row r="40" spans="2:6" ht="16.5" customHeight="1" x14ac:dyDescent="0.25">
      <c r="B40" s="12" t="s">
        <v>90</v>
      </c>
      <c r="C40" s="2" t="s">
        <v>77</v>
      </c>
      <c r="D40" s="28">
        <v>12</v>
      </c>
      <c r="E40" s="16" t="s">
        <v>78</v>
      </c>
      <c r="F40" s="17" t="s">
        <v>79</v>
      </c>
    </row>
    <row r="41" spans="2:6" ht="16.5" customHeight="1" x14ac:dyDescent="0.25">
      <c r="B41" s="13" t="s">
        <v>90</v>
      </c>
      <c r="C41" s="8" t="s">
        <v>80</v>
      </c>
      <c r="D41" s="29">
        <v>3</v>
      </c>
      <c r="E41" s="18" t="s">
        <v>81</v>
      </c>
      <c r="F41" s="19" t="s">
        <v>82</v>
      </c>
    </row>
    <row r="42" spans="2:6" ht="16.5" customHeight="1" x14ac:dyDescent="0.25">
      <c r="B42" s="12" t="s">
        <v>97</v>
      </c>
      <c r="C42" s="2" t="s">
        <v>98</v>
      </c>
      <c r="D42" s="32">
        <v>53.06</v>
      </c>
      <c r="E42" s="16" t="s">
        <v>99</v>
      </c>
      <c r="F42" s="17" t="s">
        <v>100</v>
      </c>
    </row>
    <row r="43" spans="2:6" ht="16.5" customHeight="1" x14ac:dyDescent="0.25">
      <c r="B43" s="13" t="s">
        <v>97</v>
      </c>
      <c r="C43" s="8" t="s">
        <v>101</v>
      </c>
      <c r="D43" s="15">
        <v>25</v>
      </c>
      <c r="E43" s="18" t="s">
        <v>102</v>
      </c>
      <c r="F43" s="19" t="s">
        <v>103</v>
      </c>
    </row>
    <row r="44" spans="2:6" ht="16.5" customHeight="1" x14ac:dyDescent="0.25">
      <c r="B44" s="12" t="s">
        <v>97</v>
      </c>
      <c r="C44" s="2" t="s">
        <v>104</v>
      </c>
      <c r="D44" s="24">
        <v>0.05</v>
      </c>
      <c r="E44" s="16" t="s">
        <v>54</v>
      </c>
      <c r="F44" s="17" t="s">
        <v>105</v>
      </c>
    </row>
    <row r="45" spans="2:6" ht="16.5" customHeight="1" x14ac:dyDescent="0.25">
      <c r="B45" s="13" t="s">
        <v>97</v>
      </c>
      <c r="C45" s="8" t="s">
        <v>106</v>
      </c>
      <c r="D45" s="33">
        <v>0.90718500000000002</v>
      </c>
      <c r="E45" s="18" t="s">
        <v>107</v>
      </c>
      <c r="F45" s="19" t="s">
        <v>108</v>
      </c>
    </row>
    <row r="46" spans="2:6" ht="16.5" customHeight="1" x14ac:dyDescent="0.25">
      <c r="B46" s="12" t="s">
        <v>97</v>
      </c>
      <c r="C46" s="2" t="s">
        <v>109</v>
      </c>
      <c r="D46" s="20">
        <f>D43*D45</f>
        <v>22.679625000000001</v>
      </c>
      <c r="E46" s="16" t="s">
        <v>110</v>
      </c>
      <c r="F46" s="17" t="s">
        <v>111</v>
      </c>
    </row>
    <row r="47" spans="2:6" ht="16.5" customHeight="1" x14ac:dyDescent="0.25">
      <c r="B47" s="13" t="s">
        <v>112</v>
      </c>
      <c r="C47" s="8" t="s">
        <v>113</v>
      </c>
      <c r="D47" s="27">
        <v>0.08</v>
      </c>
      <c r="E47" s="18" t="s">
        <v>54</v>
      </c>
      <c r="F47" s="19" t="s">
        <v>114</v>
      </c>
    </row>
    <row r="48" spans="2:6" ht="16.5" customHeight="1" x14ac:dyDescent="0.25">
      <c r="B48" s="12" t="s">
        <v>112</v>
      </c>
      <c r="C48" s="2" t="s">
        <v>115</v>
      </c>
      <c r="D48" s="24">
        <v>0.2</v>
      </c>
      <c r="E48" s="16" t="s">
        <v>54</v>
      </c>
      <c r="F48" s="17" t="s">
        <v>116</v>
      </c>
    </row>
    <row r="49" spans="2:6" ht="16.5" customHeight="1" x14ac:dyDescent="0.25">
      <c r="B49" s="13" t="s">
        <v>117</v>
      </c>
      <c r="C49" s="8" t="s">
        <v>118</v>
      </c>
      <c r="D49" s="15">
        <v>155</v>
      </c>
      <c r="E49" s="18" t="s">
        <v>81</v>
      </c>
      <c r="F49" s="19" t="s">
        <v>119</v>
      </c>
    </row>
    <row r="50" spans="2:6" ht="16.5" customHeight="1" x14ac:dyDescent="0.25">
      <c r="B50" s="12" t="s">
        <v>117</v>
      </c>
      <c r="C50" s="2" t="s">
        <v>120</v>
      </c>
      <c r="D50" s="15">
        <v>146</v>
      </c>
      <c r="E50" s="16" t="s">
        <v>81</v>
      </c>
      <c r="F50" s="17" t="s">
        <v>121</v>
      </c>
    </row>
    <row r="51" spans="2:6" ht="16.5" customHeight="1" x14ac:dyDescent="0.25">
      <c r="B51" s="13" t="s">
        <v>117</v>
      </c>
      <c r="C51" s="8" t="s">
        <v>122</v>
      </c>
      <c r="D51" s="29">
        <v>129</v>
      </c>
      <c r="E51" s="18" t="s">
        <v>81</v>
      </c>
      <c r="F51" s="19" t="s">
        <v>123</v>
      </c>
    </row>
    <row r="52" spans="2:6" ht="16.5" customHeight="1" x14ac:dyDescent="0.25">
      <c r="B52" s="12" t="s">
        <v>117</v>
      </c>
      <c r="C52" s="2" t="s">
        <v>124</v>
      </c>
      <c r="D52" s="25">
        <v>5500</v>
      </c>
      <c r="E52" s="16" t="s">
        <v>70</v>
      </c>
      <c r="F52" s="17" t="s">
        <v>125</v>
      </c>
    </row>
    <row r="53" spans="2:6" ht="16.5" customHeight="1" x14ac:dyDescent="0.25">
      <c r="B53" s="13" t="s">
        <v>117</v>
      </c>
      <c r="C53" s="8" t="s">
        <v>126</v>
      </c>
      <c r="D53" s="30">
        <v>120</v>
      </c>
      <c r="E53" s="18" t="s">
        <v>78</v>
      </c>
      <c r="F53" s="19" t="s">
        <v>127</v>
      </c>
    </row>
    <row r="54" spans="2:6" ht="16.5" customHeight="1" x14ac:dyDescent="0.25">
      <c r="B54" s="12" t="s">
        <v>117</v>
      </c>
      <c r="C54" s="2" t="s">
        <v>128</v>
      </c>
      <c r="D54" s="27">
        <v>0.42</v>
      </c>
      <c r="E54" s="16" t="s">
        <v>54</v>
      </c>
      <c r="F54" s="17" t="s">
        <v>129</v>
      </c>
    </row>
    <row r="55" spans="2:6" ht="16.5" customHeight="1" x14ac:dyDescent="0.25">
      <c r="B55" s="13" t="s">
        <v>117</v>
      </c>
      <c r="C55" s="8" t="s">
        <v>130</v>
      </c>
      <c r="D55" s="23">
        <v>25</v>
      </c>
      <c r="E55" s="18" t="s">
        <v>131</v>
      </c>
      <c r="F55" s="19" t="s">
        <v>132</v>
      </c>
    </row>
    <row r="56" spans="2:6" ht="16.5" customHeight="1" x14ac:dyDescent="0.25">
      <c r="B56" s="12" t="s">
        <v>117</v>
      </c>
      <c r="C56" s="2" t="s">
        <v>133</v>
      </c>
      <c r="D56" s="22">
        <v>900</v>
      </c>
      <c r="E56" s="16" t="s">
        <v>58</v>
      </c>
      <c r="F56" s="17" t="s">
        <v>134</v>
      </c>
    </row>
    <row r="57" spans="2:6" ht="16.5" customHeight="1" x14ac:dyDescent="0.25">
      <c r="B57" s="13" t="s">
        <v>117</v>
      </c>
      <c r="C57" s="8" t="s">
        <v>135</v>
      </c>
      <c r="D57" s="30">
        <v>400</v>
      </c>
      <c r="E57" s="18" t="s">
        <v>73</v>
      </c>
      <c r="F57" s="19" t="s">
        <v>136</v>
      </c>
    </row>
    <row r="58" spans="2:6" ht="16.5" customHeight="1" x14ac:dyDescent="0.25">
      <c r="B58" s="12" t="s">
        <v>117</v>
      </c>
      <c r="C58" s="2" t="s">
        <v>137</v>
      </c>
      <c r="D58" s="31">
        <v>79</v>
      </c>
      <c r="E58" s="16" t="s">
        <v>81</v>
      </c>
      <c r="F58" s="17" t="s">
        <v>138</v>
      </c>
    </row>
    <row r="59" spans="2:6" ht="16.5" customHeight="1" x14ac:dyDescent="0.25">
      <c r="B59" s="13" t="s">
        <v>117</v>
      </c>
      <c r="C59" s="8" t="s">
        <v>139</v>
      </c>
      <c r="D59" s="21">
        <v>0.02</v>
      </c>
      <c r="E59" s="18" t="s">
        <v>54</v>
      </c>
      <c r="F59" s="19" t="s">
        <v>140</v>
      </c>
    </row>
    <row r="60" spans="2:6" ht="16.5" customHeight="1" x14ac:dyDescent="0.25">
      <c r="B60" s="12" t="s">
        <v>141</v>
      </c>
      <c r="C60" s="2" t="s">
        <v>142</v>
      </c>
      <c r="D60" s="34">
        <v>4</v>
      </c>
      <c r="E60" s="16" t="s">
        <v>143</v>
      </c>
      <c r="F60" s="17" t="s">
        <v>144</v>
      </c>
    </row>
    <row r="61" spans="2:6" ht="16.5" customHeight="1" x14ac:dyDescent="0.25">
      <c r="B61" s="13" t="s">
        <v>141</v>
      </c>
      <c r="C61" s="8" t="s">
        <v>145</v>
      </c>
      <c r="D61" s="25">
        <v>300</v>
      </c>
      <c r="E61" s="18" t="s">
        <v>146</v>
      </c>
      <c r="F61" s="19" t="s">
        <v>147</v>
      </c>
    </row>
    <row r="62" spans="2:6" ht="16.5" customHeight="1" x14ac:dyDescent="0.25">
      <c r="B62" s="12" t="s">
        <v>141</v>
      </c>
      <c r="C62" s="2" t="s">
        <v>148</v>
      </c>
      <c r="D62" s="25">
        <v>350</v>
      </c>
      <c r="E62" s="16" t="s">
        <v>146</v>
      </c>
      <c r="F62" s="17" t="s">
        <v>149</v>
      </c>
    </row>
    <row r="63" spans="2:6" ht="16.5" customHeight="1" x14ac:dyDescent="0.25">
      <c r="B63" s="13" t="s">
        <v>141</v>
      </c>
      <c r="C63" s="8" t="s">
        <v>150</v>
      </c>
      <c r="D63" s="25">
        <v>400</v>
      </c>
      <c r="E63" s="18" t="s">
        <v>146</v>
      </c>
      <c r="F63" s="19" t="s">
        <v>151</v>
      </c>
    </row>
    <row r="64" spans="2:6" ht="16.5" customHeight="1" x14ac:dyDescent="0.25">
      <c r="B64" s="12" t="s">
        <v>141</v>
      </c>
      <c r="C64" s="2" t="s">
        <v>152</v>
      </c>
      <c r="D64" s="27">
        <v>0.3</v>
      </c>
      <c r="E64" s="16" t="s">
        <v>54</v>
      </c>
      <c r="F64" s="17" t="s">
        <v>153</v>
      </c>
    </row>
    <row r="65" spans="2:6" ht="16.5" customHeight="1" x14ac:dyDescent="0.25">
      <c r="B65" s="13" t="s">
        <v>141</v>
      </c>
      <c r="C65" s="8" t="s">
        <v>154</v>
      </c>
      <c r="D65" s="27">
        <v>0.5</v>
      </c>
      <c r="E65" s="18" t="s">
        <v>54</v>
      </c>
      <c r="F65" s="19" t="s">
        <v>155</v>
      </c>
    </row>
    <row r="66" spans="2:6" ht="16.5" customHeight="1" x14ac:dyDescent="0.25">
      <c r="B66" s="12" t="s">
        <v>141</v>
      </c>
      <c r="C66" s="2" t="s">
        <v>156</v>
      </c>
      <c r="D66" s="28">
        <v>10</v>
      </c>
      <c r="E66" s="16" t="s">
        <v>78</v>
      </c>
      <c r="F66" s="17" t="s">
        <v>157</v>
      </c>
    </row>
    <row r="67" spans="2:6" ht="16.5" customHeight="1" x14ac:dyDescent="0.25">
      <c r="B67" s="13" t="s">
        <v>141</v>
      </c>
      <c r="C67" s="8" t="s">
        <v>158</v>
      </c>
      <c r="D67" s="35"/>
      <c r="E67" s="18"/>
      <c r="F67" s="19" t="s">
        <v>159</v>
      </c>
    </row>
    <row r="69" spans="2:6" ht="15" customHeight="1" x14ac:dyDescent="0.25">
      <c r="B69" s="152" t="s">
        <v>160</v>
      </c>
      <c r="C69" s="152"/>
      <c r="D69" s="152"/>
      <c r="E69" s="152"/>
      <c r="F69" s="152"/>
    </row>
  </sheetData>
  <mergeCells count="3">
    <mergeCell ref="B2:H2"/>
    <mergeCell ref="B3:H3"/>
    <mergeCell ref="B69:F6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2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8.7109375" defaultRowHeight="15" customHeight="1" x14ac:dyDescent="0.25"/>
  <cols>
    <col min="1" max="1" width="3" customWidth="1"/>
    <col min="2" max="2" width="30" customWidth="1"/>
    <col min="3" max="19" width="13" customWidth="1"/>
  </cols>
  <sheetData>
    <row r="1" spans="2:18" ht="7.5" customHeight="1" x14ac:dyDescent="0.25"/>
    <row r="2" spans="2:18" ht="27.75" customHeight="1" x14ac:dyDescent="0.25">
      <c r="B2" s="158" t="s">
        <v>161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2:18" ht="18" customHeight="1" x14ac:dyDescent="0.25">
      <c r="B3" s="164" t="s">
        <v>162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5" spans="2:18" ht="24" customHeight="1" x14ac:dyDescent="0.25">
      <c r="B5" s="14" t="s">
        <v>163</v>
      </c>
      <c r="C5" s="167" t="s">
        <v>164</v>
      </c>
      <c r="D5" s="167"/>
      <c r="E5" s="167"/>
      <c r="F5" s="167"/>
      <c r="G5" s="36"/>
      <c r="H5" s="168" t="s">
        <v>165</v>
      </c>
      <c r="I5" s="168"/>
      <c r="J5" s="168"/>
      <c r="K5" s="168"/>
    </row>
    <row r="6" spans="2:18" ht="21.75" customHeight="1" x14ac:dyDescent="0.25">
      <c r="B6" s="1" t="s">
        <v>166</v>
      </c>
      <c r="C6" s="1" t="s">
        <v>167</v>
      </c>
      <c r="D6" s="1" t="s">
        <v>168</v>
      </c>
      <c r="E6" s="1" t="s">
        <v>169</v>
      </c>
      <c r="F6" s="1" t="s">
        <v>170</v>
      </c>
      <c r="G6" s="37" t="s">
        <v>171</v>
      </c>
      <c r="H6" s="38" t="s">
        <v>167</v>
      </c>
      <c r="I6" s="38" t="s">
        <v>168</v>
      </c>
      <c r="J6" s="38" t="s">
        <v>169</v>
      </c>
      <c r="K6" s="38" t="s">
        <v>170</v>
      </c>
    </row>
    <row r="7" spans="2:18" ht="21.75" customHeight="1" x14ac:dyDescent="0.25">
      <c r="B7" s="153" t="s">
        <v>172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2:18" ht="18" customHeight="1" x14ac:dyDescent="0.25">
      <c r="B8" s="2" t="s">
        <v>13</v>
      </c>
      <c r="C8" s="3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9/1000000)*(((1+Assumptions!D13)/(Assumptions!D47-Assumptions!D13))*(1-((1+Assumptions!D13)/(1+Assumptions!D47))^10))+((Assumptions!D17*Assumptions!D21*8760)*1000*Assumptions!D18/1000000*Assumptions!D42/907.185*(Assumptions!D46/Assumptions!D45)/1000000)*(((1+Assumptions!D44)/(Assumptions!D47-Assumptions!D44))*(1-((1+Assumptions!D44)/(1+Assumptions!D47))^10)))*1000000/((Assumptions!D17*Assumptions!D21*8760)*((1-(1+Assumptions!D47)^(-10))/Assumptions!D47))</f>
        <v>156.91648774000271</v>
      </c>
      <c r="D8" s="3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9/1000000)*(((1+Assumptions!D13)/(Assumptions!D47-Assumptions!D13))*(1-((1+Assumptions!D13)/(1+Assumptions!D47))^20))+((Assumptions!D17*Assumptions!D21*8760)*1000*Assumptions!D18/1000000*Assumptions!D42/907.185*(Assumptions!D46/Assumptions!D45)/1000000)*(((1+Assumptions!D44)/(Assumptions!D47-Assumptions!D44))*(1-((1+Assumptions!D44)/(1+Assumptions!D47))^20)))*1000000/((Assumptions!D17*Assumptions!D21*8760)*((1-(1+Assumptions!D47)^(-20))/Assumptions!D47))</f>
        <v>132.1887222161827</v>
      </c>
      <c r="E8" s="3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9/1000000)*(((1+Assumptions!D13)/(Assumptions!D47-Assumptions!D13))*(1-((1+Assumptions!D13)/(1+Assumptions!D47))^30))+((Assumptions!D17*Assumptions!D21*8760)*1000*Assumptions!D18/1000000*Assumptions!D42/907.185*(Assumptions!D46/Assumptions!D45)/1000000)*(((1+Assumptions!D44)/(Assumptions!D47-Assumptions!D44))*(1-((1+Assumptions!D44)/(1+Assumptions!D47))^30)))*1000000/((Assumptions!D17*Assumptions!D21*8760)*((1-(1+Assumptions!D47)^(-30))/Assumptions!D47))</f>
        <v>126.11331346369846</v>
      </c>
      <c r="F8" s="3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9/1000000)*(((1+Assumptions!D13)/(Assumptions!D47-Assumptions!D13))*(1-((1+Assumptions!D13)/(1+Assumptions!D47))^40))+((Assumptions!D17*Assumptions!D21*8760)*1000*Assumptions!D18/1000000*Assumptions!D42/907.185*(Assumptions!D46/Assumptions!D45)/1000000)*(((1+Assumptions!D44)/(Assumptions!D47-Assumptions!D44))*(1-((1+Assumptions!D44)/(1+Assumptions!D47))^40)))*1000000/((Assumptions!D17*Assumptions!D21*8760)*((1-(1+Assumptions!D47)^(-40))/Assumptions!D47))</f>
        <v>125.46611812710941</v>
      </c>
      <c r="G8" s="39"/>
      <c r="H8" s="4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9/1000000)*(((1+Assumptions!D13)/(Assumptions!D47-Assumptions!D13))*(1-((1+Assumptions!D13)/(1+Assumptions!D47))^10)))*1000000/((Assumptions!D17*Assumptions!D21*8760)*((1-(1+Assumptions!D47)^(-10))/Assumptions!D47))</f>
        <v>145.11992724506669</v>
      </c>
      <c r="I8" s="4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9/1000000)*(((1+Assumptions!D13)/(Assumptions!D47-Assumptions!D13))*(1-((1+Assumptions!D13)/(1+Assumptions!D47))^20)))*1000000/((Assumptions!D17*Assumptions!D21*8760)*((1-(1+Assumptions!D47)^(-20))/Assumptions!D47))</f>
        <v>118.04364331193808</v>
      </c>
      <c r="J8" s="4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9/1000000)*(((1+Assumptions!D13)/(Assumptions!D47-Assumptions!D13))*(1-((1+Assumptions!D13)/(1+Assumptions!D47))^30)))*1000000/((Assumptions!D17*Assumptions!D21*8760)*((1-(1+Assumptions!D47)^(-30))/Assumptions!D47))</f>
        <v>109.77450482338077</v>
      </c>
      <c r="K8" s="4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9/1000000)*(((1+Assumptions!D13)/(Assumptions!D47-Assumptions!D13))*(1-((1+Assumptions!D13)/(1+Assumptions!D47))^40)))*1000000/((Assumptions!D17*Assumptions!D21*8760)*((1-(1+Assumptions!D47)^(-40))/Assumptions!D47))</f>
        <v>107.18993102027339</v>
      </c>
    </row>
    <row r="9" spans="2:18" ht="18" customHeight="1" x14ac:dyDescent="0.25">
      <c r="B9" s="8" t="s">
        <v>14</v>
      </c>
      <c r="C9" s="9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10/1000000)*(((1+Assumptions!D13)/(Assumptions!D47-Assumptions!D13))*(1-((1+Assumptions!D13)/(1+Assumptions!D47))^10))+((Assumptions!D17*Assumptions!D21*8760)*1000*Assumptions!D18/1000000*Assumptions!D42/907.185*(Assumptions!D46/Assumptions!D45)/1000000)*(((1+Assumptions!D44)/(Assumptions!D47-Assumptions!D44))*(1-((1+Assumptions!D44)/(1+Assumptions!D47))^10)))*1000000/((Assumptions!D17*Assumptions!D21*8760)*((1-(1+Assumptions!D47)^(-10))/Assumptions!D47))</f>
        <v>188.18681448488482</v>
      </c>
      <c r="D9" s="9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10/1000000)*(((1+Assumptions!D13)/(Assumptions!D47-Assumptions!D13))*(1-((1+Assumptions!D13)/(1+Assumptions!D47))^20))+((Assumptions!D17*Assumptions!D21*8760)*1000*Assumptions!D18/1000000*Assumptions!D42/907.185*(Assumptions!D46/Assumptions!D45)/1000000)*(((1+Assumptions!D44)/(Assumptions!D47-Assumptions!D44))*(1-((1+Assumptions!D44)/(1+Assumptions!D47))^20)))*1000000/((Assumptions!D17*Assumptions!D21*8760)*((1-(1+Assumptions!D47)^(-20))/Assumptions!D47))</f>
        <v>165.62688361192053</v>
      </c>
      <c r="E9" s="9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10/1000000)*(((1+Assumptions!D13)/(Assumptions!D47-Assumptions!D13))*(1-((1+Assumptions!D13)/(1+Assumptions!D47))^30))+((Assumptions!D17*Assumptions!D21*8760)*1000*Assumptions!D18/1000000*Assumptions!D42/907.185*(Assumptions!D46/Assumptions!D45)/1000000)*(((1+Assumptions!D44)/(Assumptions!D47-Assumptions!D44))*(1-((1+Assumptions!D44)/(1+Assumptions!D47))^30)))*1000000/((Assumptions!D17*Assumptions!D21*8760)*((1-(1+Assumptions!D47)^(-30))/Assumptions!D47))</f>
        <v>161.2174717334432</v>
      </c>
      <c r="F9" s="9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10/1000000)*(((1+Assumptions!D13)/(Assumptions!D47-Assumptions!D13))*(1-((1+Assumptions!D13)/(1+Assumptions!D47))^40))+((Assumptions!D17*Assumptions!D21*8760)*1000*Assumptions!D18/1000000*Assumptions!D42/907.185*(Assumptions!D46/Assumptions!D45)/1000000)*(((1+Assumptions!D44)/(Assumptions!D47-Assumptions!D44))*(1-((1+Assumptions!D44)/(1+Assumptions!D47))^40)))*1000000/((Assumptions!D17*Assumptions!D21*8760)*((1-(1+Assumptions!D47)^(-40))/Assumptions!D47))</f>
        <v>161.77467529579837</v>
      </c>
      <c r="G9" s="39"/>
      <c r="H9" s="4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10/1000000)*(((1+Assumptions!D13)/(Assumptions!D47-Assumptions!D13))*(1-((1+Assumptions!D13)/(1+Assumptions!D47))^10)))*1000000/((Assumptions!D17*Assumptions!D21*8760)*((1-(1+Assumptions!D47)^(-10))/Assumptions!D47))</f>
        <v>176.39025398994883</v>
      </c>
      <c r="I9" s="4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10/1000000)*(((1+Assumptions!D13)/(Assumptions!D47-Assumptions!D13))*(1-((1+Assumptions!D13)/(1+Assumptions!D47))^20)))*1000000/((Assumptions!D17*Assumptions!D21*8760)*((1-(1+Assumptions!D47)^(-20))/Assumptions!D47))</f>
        <v>151.48180470767588</v>
      </c>
      <c r="J9" s="4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10/1000000)*(((1+Assumptions!D13)/(Assumptions!D47-Assumptions!D13))*(1-((1+Assumptions!D13)/(1+Assumptions!D47))^30)))*1000000/((Assumptions!D17*Assumptions!D21*8760)*((1-(1+Assumptions!D47)^(-30))/Assumptions!D47))</f>
        <v>144.87866309312551</v>
      </c>
      <c r="K9" s="4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10/1000000)*(((1+Assumptions!D13)/(Assumptions!D47-Assumptions!D13))*(1-((1+Assumptions!D13)/(1+Assumptions!D47))^40)))*1000000/((Assumptions!D17*Assumptions!D21*8760)*((1-(1+Assumptions!D47)^(-40))/Assumptions!D47))</f>
        <v>143.49848818896234</v>
      </c>
    </row>
    <row r="10" spans="2:18" ht="18" customHeight="1" x14ac:dyDescent="0.25">
      <c r="B10" s="2" t="s">
        <v>15</v>
      </c>
      <c r="C10" s="3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11/1000000)*(((1+Assumptions!D13)/(Assumptions!D47-Assumptions!D13))*(1-((1+Assumptions!D13)/(1+Assumptions!D47))^10))+((Assumptions!D17*Assumptions!D21*8760)*1000*Assumptions!D18/1000000*Assumptions!D42/907.185*(Assumptions!D46/Assumptions!D45)/1000000)*(((1+Assumptions!D44)/(Assumptions!D47-Assumptions!D44))*(1-((1+Assumptions!D44)/(1+Assumptions!D47))^10)))*1000000/((Assumptions!D17*Assumptions!D21*8760)*((1-(1+Assumptions!D47)^(-10))/Assumptions!D47))</f>
        <v>219.45714122976699</v>
      </c>
      <c r="D10" s="3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11/1000000)*(((1+Assumptions!D13)/(Assumptions!D47-Assumptions!D13))*(1-((1+Assumptions!D13)/(1+Assumptions!D47))^20))+((Assumptions!D17*Assumptions!D21*8760)*1000*Assumptions!D18/1000000*Assumptions!D42/907.185*(Assumptions!D46/Assumptions!D45)/1000000)*(((1+Assumptions!D44)/(Assumptions!D47-Assumptions!D44))*(1-((1+Assumptions!D44)/(1+Assumptions!D47))^20)))*1000000/((Assumptions!D17*Assumptions!D21*8760)*((1-(1+Assumptions!D47)^(-20))/Assumptions!D47))</f>
        <v>199.06504500765831</v>
      </c>
      <c r="E10" s="3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11/1000000)*(((1+Assumptions!D13)/(Assumptions!D47-Assumptions!D13))*(1-((1+Assumptions!D13)/(1+Assumptions!D47))^30))+((Assumptions!D17*Assumptions!D21*8760)*1000*Assumptions!D18/1000000*Assumptions!D42/907.185*(Assumptions!D46/Assumptions!D45)/1000000)*(((1+Assumptions!D44)/(Assumptions!D47-Assumptions!D44))*(1-((1+Assumptions!D44)/(1+Assumptions!D47))^30)))*1000000/((Assumptions!D17*Assumptions!D21*8760)*((1-(1+Assumptions!D47)^(-30))/Assumptions!D47))</f>
        <v>196.32163000318795</v>
      </c>
      <c r="F10" s="3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11/1000000)*(((1+Assumptions!D13)/(Assumptions!D47-Assumptions!D13))*(1-((1+Assumptions!D13)/(1+Assumptions!D47))^40))+((Assumptions!D17*Assumptions!D21*8760)*1000*Assumptions!D18/1000000*Assumptions!D42/907.185*(Assumptions!D46/Assumptions!D45)/1000000)*(((1+Assumptions!D44)/(Assumptions!D47-Assumptions!D44))*(1-((1+Assumptions!D44)/(1+Assumptions!D47))^40)))*1000000/((Assumptions!D17*Assumptions!D21*8760)*((1-(1+Assumptions!D47)^(-40))/Assumptions!D47))</f>
        <v>198.08323246448734</v>
      </c>
      <c r="G10" s="39"/>
      <c r="H10" s="4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11/1000000)*(((1+Assumptions!D13)/(Assumptions!D47-Assumptions!D13))*(1-((1+Assumptions!D13)/(1+Assumptions!D47))^10)))*1000000/((Assumptions!D17*Assumptions!D21*8760)*((1-(1+Assumptions!D47)^(-10))/Assumptions!D47))</f>
        <v>207.66058073483097</v>
      </c>
      <c r="I10" s="4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11/1000000)*(((1+Assumptions!D13)/(Assumptions!D47-Assumptions!D13))*(1-((1+Assumptions!D13)/(1+Assumptions!D47))^20)))*1000000/((Assumptions!D17*Assumptions!D21*8760)*((1-(1+Assumptions!D47)^(-20))/Assumptions!D47))</f>
        <v>184.91996610341369</v>
      </c>
      <c r="J10" s="4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11/1000000)*(((1+Assumptions!D13)/(Assumptions!D47-Assumptions!D13))*(1-((1+Assumptions!D13)/(1+Assumptions!D47))^30)))*1000000/((Assumptions!D17*Assumptions!D21*8760)*((1-(1+Assumptions!D47)^(-30))/Assumptions!D47))</f>
        <v>179.98282136287023</v>
      </c>
      <c r="K10" s="4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11/1000000)*(((1+Assumptions!D13)/(Assumptions!D47-Assumptions!D13))*(1-((1+Assumptions!D13)/(1+Assumptions!D47))^40)))*1000000/((Assumptions!D17*Assumptions!D21*8760)*((1-(1+Assumptions!D47)^(-40))/Assumptions!D47))</f>
        <v>179.80704535765133</v>
      </c>
    </row>
    <row r="11" spans="2:18" ht="18" customHeight="1" x14ac:dyDescent="0.25">
      <c r="B11" s="8" t="s">
        <v>16</v>
      </c>
      <c r="C11" s="9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12/1000000)*(((1+Assumptions!D13)/(Assumptions!D47-Assumptions!D13))*(1-((1+Assumptions!D13)/(1+Assumptions!D47))^10))+((Assumptions!D17*Assumptions!D21*8760)*1000*Assumptions!D18/1000000*Assumptions!D42/907.185*(Assumptions!D46/Assumptions!D45)/1000000)*(((1+Assumptions!D44)/(Assumptions!D47-Assumptions!D44))*(1-((1+Assumptions!D44)/(1+Assumptions!D47))^10)))*1000000/((Assumptions!D17*Assumptions!D21*8760)*((1-(1+Assumptions!D47)^(-10))/Assumptions!D47))</f>
        <v>250.72746797464913</v>
      </c>
      <c r="D11" s="9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12/1000000)*(((1+Assumptions!D13)/(Assumptions!D47-Assumptions!D13))*(1-((1+Assumptions!D13)/(1+Assumptions!D47))^20))+((Assumptions!D17*Assumptions!D21*8760)*1000*Assumptions!D18/1000000*Assumptions!D42/907.185*(Assumptions!D46/Assumptions!D45)/1000000)*(((1+Assumptions!D44)/(Assumptions!D47-Assumptions!D44))*(1-((1+Assumptions!D44)/(1+Assumptions!D47))^20)))*1000000/((Assumptions!D17*Assumptions!D21*8760)*((1-(1+Assumptions!D47)^(-20))/Assumptions!D47))</f>
        <v>232.50320640339609</v>
      </c>
      <c r="E11" s="9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12/1000000)*(((1+Assumptions!D13)/(Assumptions!D47-Assumptions!D13))*(1-((1+Assumptions!D13)/(1+Assumptions!D47))^30))+((Assumptions!D17*Assumptions!D21*8760)*1000*Assumptions!D18/1000000*Assumptions!D42/907.185*(Assumptions!D46/Assumptions!D45)/1000000)*(((1+Assumptions!D44)/(Assumptions!D47-Assumptions!D44))*(1-((1+Assumptions!D44)/(1+Assumptions!D47))^30)))*1000000/((Assumptions!D17*Assumptions!D21*8760)*((1-(1+Assumptions!D47)^(-30))/Assumptions!D47))</f>
        <v>231.42578827293266</v>
      </c>
      <c r="F11" s="9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12/1000000)*(((1+Assumptions!D13)/(Assumptions!D47-Assumptions!D13))*(1-((1+Assumptions!D13)/(1+Assumptions!D47))^40))+((Assumptions!D17*Assumptions!D21*8760)*1000*Assumptions!D18/1000000*Assumptions!D42/907.185*(Assumptions!D46/Assumptions!D45)/1000000)*(((1+Assumptions!D44)/(Assumptions!D47-Assumptions!D44))*(1-((1+Assumptions!D44)/(1+Assumptions!D47))^40)))*1000000/((Assumptions!D17*Assumptions!D21*8760)*((1-(1+Assumptions!D47)^(-40))/Assumptions!D47))</f>
        <v>234.39178963317633</v>
      </c>
      <c r="G11" s="39"/>
      <c r="H11" s="4">
        <f>((Assumptions!D19*Assumptions!D17*1000/1000000)+(Assumptions!D22*Assumptions!D17*1000/1000000)*((1-(1+Assumptions!D47)^(-10))/Assumptions!D47)+(Assumptions!D23*(Assumptions!D17*Assumptions!D21*8760)/1000000)*((1-(1+Assumptions!D47)^(-10))/Assumptions!D47)+((Assumptions!D17*Assumptions!D21*8760*1000)*Assumptions!D18/1000000*Assumptions!D12/1000000)*(((1+Assumptions!D13)/(Assumptions!D47-Assumptions!D13))*(1-((1+Assumptions!D13)/(1+Assumptions!D47))^10)))*1000000/((Assumptions!D17*Assumptions!D21*8760)*((1-(1+Assumptions!D47)^(-10))/Assumptions!D47))</f>
        <v>238.93090747971314</v>
      </c>
      <c r="I11" s="4">
        <f>((Assumptions!D19*Assumptions!D17*1000/1000000)+((Assumptions!D19*Assumptions!D17*1000/1000000)*Assumptions!D48)/(1+Assumptions!D47)^15+(Assumptions!D22*Assumptions!D17*1000/1000000)*((1-(1+Assumptions!D47)^(-20))/Assumptions!D47)+(Assumptions!D23*(Assumptions!D17*Assumptions!D21*8760)/1000000)*((1-(1+Assumptions!D47)^(-20))/Assumptions!D47)+((Assumptions!D17*Assumptions!D21*8760*1000)*Assumptions!D18/1000000*Assumptions!D12/1000000)*(((1+Assumptions!D13)/(Assumptions!D47-Assumptions!D13))*(1-((1+Assumptions!D13)/(1+Assumptions!D47))^20)))*1000000/((Assumptions!D17*Assumptions!D21*8760)*((1-(1+Assumptions!D47)^(-20))/Assumptions!D47))</f>
        <v>218.35812749915146</v>
      </c>
      <c r="J11" s="4">
        <f>((Assumptions!D19*Assumptions!D17*1000/1000000)+((Assumptions!D19*Assumptions!D17*1000/1000000)*Assumptions!D48)/(1+Assumptions!D47)^15+(Assumptions!D22*Assumptions!D17*1000/1000000)*((1-(1+Assumptions!D47)^(-30))/Assumptions!D47)+(Assumptions!D23*(Assumptions!D17*Assumptions!D21*8760)/1000000)*((1-(1+Assumptions!D47)^(-30))/Assumptions!D47)+((Assumptions!D17*Assumptions!D21*8760*1000)*Assumptions!D18/1000000*Assumptions!D12/1000000)*(((1+Assumptions!D13)/(Assumptions!D47-Assumptions!D13))*(1-((1+Assumptions!D13)/(1+Assumptions!D47))^30)))*1000000/((Assumptions!D17*Assumptions!D21*8760)*((1-(1+Assumptions!D47)^(-30))/Assumptions!D47))</f>
        <v>215.08697963261497</v>
      </c>
      <c r="K11" s="4">
        <f>((Assumptions!D19*Assumptions!D17*1000/1000000)+((Assumptions!D19*Assumptions!D17*1000/1000000)*Assumptions!D48)/(1+Assumptions!D47)^15+(Assumptions!D22*Assumptions!D17*1000/1000000)*((1-(1+Assumptions!D47)^(-40))/Assumptions!D47)+(Assumptions!D23*(Assumptions!D17*Assumptions!D21*8760)/1000000)*((1-(1+Assumptions!D47)^(-40))/Assumptions!D47)+((Assumptions!D17*Assumptions!D21*8760*1000)*Assumptions!D18/1000000*Assumptions!D12/1000000)*(((1+Assumptions!D13)/(Assumptions!D47-Assumptions!D13))*(1-((1+Assumptions!D13)/(1+Assumptions!D47))^40)))*1000000/((Assumptions!D17*Assumptions!D21*8760)*((1-(1+Assumptions!D47)^(-40))/Assumptions!D47))</f>
        <v>216.1156025263403</v>
      </c>
    </row>
    <row r="13" spans="2:18" ht="21.75" customHeight="1" x14ac:dyDescent="0.25">
      <c r="B13" s="153" t="s">
        <v>173</v>
      </c>
      <c r="C13" s="153"/>
      <c r="D13" s="153"/>
      <c r="E13" s="153"/>
      <c r="F13" s="153"/>
      <c r="G13" s="153"/>
      <c r="H13" s="153"/>
      <c r="I13" s="153"/>
      <c r="J13" s="153"/>
      <c r="K13" s="153"/>
    </row>
    <row r="14" spans="2:18" ht="18" customHeight="1" x14ac:dyDescent="0.25">
      <c r="B14" s="2" t="s">
        <v>13</v>
      </c>
      <c r="C14" s="3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9/1000000)*(((1+Assumptions!D13)/(Assumptions!D47-Assumptions!D13))*(1-((1+Assumptions!D13)/(1+Assumptions!D47))^10))+((Assumptions!D26*Assumptions!D30*8760)*1000*Assumptions!D27/1000000*Assumptions!D42/907.185*(Assumptions!D46/Assumptions!D45)/1000000)*(((1+Assumptions!D44)/(Assumptions!D47-Assumptions!D44))*(1-((1+Assumptions!D44)/(1+Assumptions!D47))^10)))*1000000/((Assumptions!D26*Assumptions!D30*8760)*((1-(1+Assumptions!D47)^(-10))/Assumptions!D47))</f>
        <v>161.77720165706319</v>
      </c>
      <c r="D14" s="3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9/1000000)*(((1+Assumptions!D13)/(Assumptions!D47-Assumptions!D13))*(1-((1+Assumptions!D13)/(1+Assumptions!D47))^20))+((Assumptions!D26*Assumptions!D30*8760)*1000*Assumptions!D27/1000000*Assumptions!D42/907.185*(Assumptions!D46/Assumptions!D45)/1000000)*(((1+Assumptions!D44)/(Assumptions!D47-Assumptions!D44))*(1-((1+Assumptions!D44)/(1+Assumptions!D47))^20)))*1000000/((Assumptions!D26*Assumptions!D30*8760)*((1-(1+Assumptions!D47)^(-20))/Assumptions!D47))</f>
        <v>135.72015801578939</v>
      </c>
      <c r="E14" s="3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9/1000000)*(((1+Assumptions!D13)/(Assumptions!D47-Assumptions!D13))*(1-((1+Assumptions!D13)/(1+Assumptions!D47))^30))+((Assumptions!D26*Assumptions!D30*8760)*1000*Assumptions!D27/1000000*Assumptions!D42/907.185*(Assumptions!D46/Assumptions!D45)/1000000)*(((1+Assumptions!D44)/(Assumptions!D47-Assumptions!D44))*(1-((1+Assumptions!D44)/(1+Assumptions!D47))^30)))*1000000/((Assumptions!D26*Assumptions!D30*8760)*((1-(1+Assumptions!D47)^(-30))/Assumptions!D47))</f>
        <v>129.1931522013704</v>
      </c>
      <c r="F14" s="3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9/1000000)*(((1+Assumptions!D13)/(Assumptions!D47-Assumptions!D13))*(1-((1+Assumptions!D13)/(1+Assumptions!D47))^40))+((Assumptions!D26*Assumptions!D30*8760)*1000*Assumptions!D27/1000000*Assumptions!D42/907.185*(Assumptions!D46/Assumptions!D45)/1000000)*(((1+Assumptions!D44)/(Assumptions!D47-Assumptions!D44))*(1-((1+Assumptions!D44)/(1+Assumptions!D47))^40)))*1000000/((Assumptions!D26*Assumptions!D30*8760)*((1-(1+Assumptions!D47)^(-40))/Assumptions!D47))</f>
        <v>128.37373083286991</v>
      </c>
      <c r="G14" s="39"/>
      <c r="H14" s="4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9/1000000)*(((1+Assumptions!D13)/(Assumptions!D47-Assumptions!D13))*(1-((1+Assumptions!D13)/(1+Assumptions!D47))^10)))*1000000/((Assumptions!D26*Assumptions!D30*8760)*((1-(1+Assumptions!D47)^(-10))/Assumptions!D47))</f>
        <v>149.9806411621272</v>
      </c>
      <c r="I14" s="4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9/1000000)*(((1+Assumptions!D13)/(Assumptions!D47-Assumptions!D13))*(1-((1+Assumptions!D13)/(1+Assumptions!D47))^20)))*1000000/((Assumptions!D26*Assumptions!D30*8760)*((1-(1+Assumptions!D47)^(-20))/Assumptions!D47))</f>
        <v>121.57507911154478</v>
      </c>
      <c r="J14" s="4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9/1000000)*(((1+Assumptions!D13)/(Assumptions!D47-Assumptions!D13))*(1-((1+Assumptions!D13)/(1+Assumptions!D47))^30)))*1000000/((Assumptions!D26*Assumptions!D30*8760)*((1-(1+Assumptions!D47)^(-30))/Assumptions!D47))</f>
        <v>112.85434356105269</v>
      </c>
      <c r="K14" s="4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9/1000000)*(((1+Assumptions!D13)/(Assumptions!D47-Assumptions!D13))*(1-((1+Assumptions!D13)/(1+Assumptions!D47))^40)))*1000000/((Assumptions!D26*Assumptions!D30*8760)*((1-(1+Assumptions!D47)^(-40))/Assumptions!D47))</f>
        <v>110.0975437260339</v>
      </c>
    </row>
    <row r="15" spans="2:18" ht="18" customHeight="1" x14ac:dyDescent="0.25">
      <c r="B15" s="8" t="s">
        <v>14</v>
      </c>
      <c r="C15" s="9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10/1000000)*(((1+Assumptions!D13)/(Assumptions!D47-Assumptions!D13))*(1-((1+Assumptions!D13)/(1+Assumptions!D47))^10))+((Assumptions!D26*Assumptions!D30*8760)*1000*Assumptions!D27/1000000*Assumptions!D42/907.185*(Assumptions!D46/Assumptions!D45)/1000000)*(((1+Assumptions!D44)/(Assumptions!D47-Assumptions!D44))*(1-((1+Assumptions!D44)/(1+Assumptions!D47))^10)))*1000000/((Assumptions!D26*Assumptions!D30*8760)*((1-(1+Assumptions!D47)^(-10))/Assumptions!D47))</f>
        <v>193.04752840194533</v>
      </c>
      <c r="D15" s="9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10/1000000)*(((1+Assumptions!D13)/(Assumptions!D47-Assumptions!D13))*(1-((1+Assumptions!D13)/(1+Assumptions!D47))^20))+((Assumptions!D26*Assumptions!D30*8760)*1000*Assumptions!D27/1000000*Assumptions!D42/907.185*(Assumptions!D46/Assumptions!D45)/1000000)*(((1+Assumptions!D44)/(Assumptions!D47-Assumptions!D44))*(1-((1+Assumptions!D44)/(1+Assumptions!D47))^20)))*1000000/((Assumptions!D26*Assumptions!D30*8760)*((1-(1+Assumptions!D47)^(-20))/Assumptions!D47))</f>
        <v>169.1583194115272</v>
      </c>
      <c r="E15" s="9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10/1000000)*(((1+Assumptions!D13)/(Assumptions!D47-Assumptions!D13))*(1-((1+Assumptions!D13)/(1+Assumptions!D47))^30))+((Assumptions!D26*Assumptions!D30*8760)*1000*Assumptions!D27/1000000*Assumptions!D42/907.185*(Assumptions!D46/Assumptions!D45)/1000000)*(((1+Assumptions!D44)/(Assumptions!D47-Assumptions!D44))*(1-((1+Assumptions!D44)/(1+Assumptions!D47))^30)))*1000000/((Assumptions!D26*Assumptions!D30*8760)*((1-(1+Assumptions!D47)^(-30))/Assumptions!D47))</f>
        <v>164.29731047111517</v>
      </c>
      <c r="F15" s="9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10/1000000)*(((1+Assumptions!D13)/(Assumptions!D47-Assumptions!D13))*(1-((1+Assumptions!D13)/(1+Assumptions!D47))^40))+((Assumptions!D26*Assumptions!D30*8760)*1000*Assumptions!D27/1000000*Assumptions!D42/907.185*(Assumptions!D46/Assumptions!D45)/1000000)*(((1+Assumptions!D44)/(Assumptions!D47-Assumptions!D44))*(1-((1+Assumptions!D44)/(1+Assumptions!D47))^40)))*1000000/((Assumptions!D26*Assumptions!D30*8760)*((1-(1+Assumptions!D47)^(-40))/Assumptions!D47))</f>
        <v>164.6822880015589</v>
      </c>
      <c r="G15" s="39"/>
      <c r="H15" s="4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10/1000000)*(((1+Assumptions!D13)/(Assumptions!D47-Assumptions!D13))*(1-((1+Assumptions!D13)/(1+Assumptions!D47))^10)))*1000000/((Assumptions!D26*Assumptions!D30*8760)*((1-(1+Assumptions!D47)^(-10))/Assumptions!D47))</f>
        <v>181.25096790700934</v>
      </c>
      <c r="I15" s="4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10/1000000)*(((1+Assumptions!D13)/(Assumptions!D47-Assumptions!D13))*(1-((1+Assumptions!D13)/(1+Assumptions!D47))^20)))*1000000/((Assumptions!D26*Assumptions!D30*8760)*((1-(1+Assumptions!D47)^(-20))/Assumptions!D47))</f>
        <v>155.01324050728257</v>
      </c>
      <c r="J15" s="4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10/1000000)*(((1+Assumptions!D13)/(Assumptions!D47-Assumptions!D13))*(1-((1+Assumptions!D13)/(1+Assumptions!D47))^30)))*1000000/((Assumptions!D26*Assumptions!D30*8760)*((1-(1+Assumptions!D47)^(-30))/Assumptions!D47))</f>
        <v>147.95850183079745</v>
      </c>
      <c r="K15" s="4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10/1000000)*(((1+Assumptions!D13)/(Assumptions!D47-Assumptions!D13))*(1-((1+Assumptions!D13)/(1+Assumptions!D47))^40)))*1000000/((Assumptions!D26*Assumptions!D30*8760)*((1-(1+Assumptions!D47)^(-40))/Assumptions!D47))</f>
        <v>146.40610089472287</v>
      </c>
    </row>
    <row r="16" spans="2:18" ht="18" customHeight="1" x14ac:dyDescent="0.25">
      <c r="B16" s="2" t="s">
        <v>15</v>
      </c>
      <c r="C16" s="3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11/1000000)*(((1+Assumptions!D13)/(Assumptions!D47-Assumptions!D13))*(1-((1+Assumptions!D13)/(1+Assumptions!D47))^10))+((Assumptions!D26*Assumptions!D30*8760)*1000*Assumptions!D27/1000000*Assumptions!D42/907.185*(Assumptions!D46/Assumptions!D45)/1000000)*(((1+Assumptions!D44)/(Assumptions!D47-Assumptions!D44))*(1-((1+Assumptions!D44)/(1+Assumptions!D47))^10)))*1000000/((Assumptions!D26*Assumptions!D30*8760)*((1-(1+Assumptions!D47)^(-10))/Assumptions!D47))</f>
        <v>224.3178551468275</v>
      </c>
      <c r="D16" s="3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11/1000000)*(((1+Assumptions!D13)/(Assumptions!D47-Assumptions!D13))*(1-((1+Assumptions!D13)/(1+Assumptions!D47))^20))+((Assumptions!D26*Assumptions!D30*8760)*1000*Assumptions!D27/1000000*Assumptions!D42/907.185*(Assumptions!D46/Assumptions!D45)/1000000)*(((1+Assumptions!D44)/(Assumptions!D47-Assumptions!D44))*(1-((1+Assumptions!D44)/(1+Assumptions!D47))^20)))*1000000/((Assumptions!D26*Assumptions!D30*8760)*((1-(1+Assumptions!D47)^(-20))/Assumptions!D47))</f>
        <v>202.59648080726495</v>
      </c>
      <c r="E16" s="3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11/1000000)*(((1+Assumptions!D13)/(Assumptions!D47-Assumptions!D13))*(1-((1+Assumptions!D13)/(1+Assumptions!D47))^30))+((Assumptions!D26*Assumptions!D30*8760)*1000*Assumptions!D27/1000000*Assumptions!D42/907.185*(Assumptions!D46/Assumptions!D45)/1000000)*(((1+Assumptions!D44)/(Assumptions!D47-Assumptions!D44))*(1-((1+Assumptions!D44)/(1+Assumptions!D47))^30)))*1000000/((Assumptions!D26*Assumptions!D30*8760)*((1-(1+Assumptions!D47)^(-30))/Assumptions!D47))</f>
        <v>199.40146874085985</v>
      </c>
      <c r="F16" s="3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11/1000000)*(((1+Assumptions!D13)/(Assumptions!D47-Assumptions!D13))*(1-((1+Assumptions!D13)/(1+Assumptions!D47))^40))+((Assumptions!D26*Assumptions!D30*8760)*1000*Assumptions!D27/1000000*Assumptions!D42/907.185*(Assumptions!D46/Assumptions!D45)/1000000)*(((1+Assumptions!D44)/(Assumptions!D47-Assumptions!D44))*(1-((1+Assumptions!D44)/(1+Assumptions!D47))^40)))*1000000/((Assumptions!D26*Assumptions!D30*8760)*((1-(1+Assumptions!D47)^(-40))/Assumptions!D47))</f>
        <v>200.99084517024787</v>
      </c>
      <c r="G16" s="39"/>
      <c r="H16" s="4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11/1000000)*(((1+Assumptions!D13)/(Assumptions!D47-Assumptions!D13))*(1-((1+Assumptions!D13)/(1+Assumptions!D47))^10)))*1000000/((Assumptions!D26*Assumptions!D30*8760)*((1-(1+Assumptions!D47)^(-10))/Assumptions!D47))</f>
        <v>212.52129465189148</v>
      </c>
      <c r="I16" s="4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11/1000000)*(((1+Assumptions!D13)/(Assumptions!D47-Assumptions!D13))*(1-((1+Assumptions!D13)/(1+Assumptions!D47))^20)))*1000000/((Assumptions!D26*Assumptions!D30*8760)*((1-(1+Assumptions!D47)^(-20))/Assumptions!D47))</f>
        <v>188.45140190302033</v>
      </c>
      <c r="J16" s="4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11/1000000)*(((1+Assumptions!D13)/(Assumptions!D47-Assumptions!D13))*(1-((1+Assumptions!D13)/(1+Assumptions!D47))^30)))*1000000/((Assumptions!D26*Assumptions!D30*8760)*((1-(1+Assumptions!D47)^(-30))/Assumptions!D47))</f>
        <v>183.06266010054219</v>
      </c>
      <c r="K16" s="4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11/1000000)*(((1+Assumptions!D13)/(Assumptions!D47-Assumptions!D13))*(1-((1+Assumptions!D13)/(1+Assumptions!D47))^40)))*1000000/((Assumptions!D26*Assumptions!D30*8760)*((1-(1+Assumptions!D47)^(-40))/Assumptions!D47))</f>
        <v>182.71465806341183</v>
      </c>
    </row>
    <row r="17" spans="2:11" ht="18" customHeight="1" x14ac:dyDescent="0.25">
      <c r="B17" s="8" t="s">
        <v>16</v>
      </c>
      <c r="C17" s="9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12/1000000)*(((1+Assumptions!D13)/(Assumptions!D47-Assumptions!D13))*(1-((1+Assumptions!D13)/(1+Assumptions!D47))^10))+((Assumptions!D26*Assumptions!D30*8760)*1000*Assumptions!D27/1000000*Assumptions!D42/907.185*(Assumptions!D46/Assumptions!D45)/1000000)*(((1+Assumptions!D44)/(Assumptions!D47-Assumptions!D44))*(1-((1+Assumptions!D44)/(1+Assumptions!D47))^10)))*1000000/((Assumptions!D26*Assumptions!D30*8760)*((1-(1+Assumptions!D47)^(-10))/Assumptions!D47))</f>
        <v>255.58818189170964</v>
      </c>
      <c r="D17" s="9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12/1000000)*(((1+Assumptions!D13)/(Assumptions!D47-Assumptions!D13))*(1-((1+Assumptions!D13)/(1+Assumptions!D47))^20))+((Assumptions!D26*Assumptions!D30*8760)*1000*Assumptions!D27/1000000*Assumptions!D42/907.185*(Assumptions!D46/Assumptions!D45)/1000000)*(((1+Assumptions!D44)/(Assumptions!D47-Assumptions!D44))*(1-((1+Assumptions!D44)/(1+Assumptions!D47))^20)))*1000000/((Assumptions!D26*Assumptions!D30*8760)*((1-(1+Assumptions!D47)^(-20))/Assumptions!D47))</f>
        <v>236.03464220300276</v>
      </c>
      <c r="E17" s="9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12/1000000)*(((1+Assumptions!D13)/(Assumptions!D47-Assumptions!D13))*(1-((1+Assumptions!D13)/(1+Assumptions!D47))^30))+((Assumptions!D26*Assumptions!D30*8760)*1000*Assumptions!D27/1000000*Assumptions!D42/907.185*(Assumptions!D46/Assumptions!D45)/1000000)*(((1+Assumptions!D44)/(Assumptions!D47-Assumptions!D44))*(1-((1+Assumptions!D44)/(1+Assumptions!D47))^30)))*1000000/((Assumptions!D26*Assumptions!D30*8760)*((1-(1+Assumptions!D47)^(-30))/Assumptions!D47))</f>
        <v>234.50562701060466</v>
      </c>
      <c r="F17" s="9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12/1000000)*(((1+Assumptions!D13)/(Assumptions!D47-Assumptions!D13))*(1-((1+Assumptions!D13)/(1+Assumptions!D47))^40))+((Assumptions!D26*Assumptions!D30*8760)*1000*Assumptions!D27/1000000*Assumptions!D42/907.185*(Assumptions!D46/Assumptions!D45)/1000000)*(((1+Assumptions!D44)/(Assumptions!D47-Assumptions!D44))*(1-((1+Assumptions!D44)/(1+Assumptions!D47))^40)))*1000000/((Assumptions!D26*Assumptions!D30*8760)*((1-(1+Assumptions!D47)^(-40))/Assumptions!D47))</f>
        <v>237.2994023389368</v>
      </c>
      <c r="G17" s="39"/>
      <c r="H17" s="4">
        <f>((Assumptions!D28*Assumptions!D26*1000/1000000)+(Assumptions!D31*Assumptions!D26*1000/1000000)*((1-(1+Assumptions!D47)^(-10))/Assumptions!D47)+(Assumptions!D32*(Assumptions!D26*Assumptions!D30*8760)/1000000)*((1-(1+Assumptions!D47)^(-10))/Assumptions!D47)+((Assumptions!D26*Assumptions!D30*8760*1000)*Assumptions!D27/1000000*Assumptions!D12/1000000)*(((1+Assumptions!D13)/(Assumptions!D47-Assumptions!D13))*(1-((1+Assumptions!D13)/(1+Assumptions!D47))^10)))*1000000/((Assumptions!D26*Assumptions!D30*8760)*((1-(1+Assumptions!D47)^(-10))/Assumptions!D47))</f>
        <v>243.79162139677362</v>
      </c>
      <c r="I17" s="4">
        <f>((Assumptions!D28*Assumptions!D26*1000/1000000)+((Assumptions!D28*Assumptions!D26*1000/1000000)*Assumptions!D48)/(1+Assumptions!D47)^15+(Assumptions!D31*Assumptions!D26*1000/1000000)*((1-(1+Assumptions!D47)^(-20))/Assumptions!D47)+(Assumptions!D32*(Assumptions!D26*Assumptions!D30*8760)/1000000)*((1-(1+Assumptions!D47)^(-20))/Assumptions!D47)+((Assumptions!D26*Assumptions!D30*8760*1000)*Assumptions!D27/1000000*Assumptions!D12/1000000)*(((1+Assumptions!D13)/(Assumptions!D47-Assumptions!D13))*(1-((1+Assumptions!D13)/(1+Assumptions!D47))^20)))*1000000/((Assumptions!D26*Assumptions!D30*8760)*((1-(1+Assumptions!D47)^(-20))/Assumptions!D47))</f>
        <v>221.88956329875813</v>
      </c>
      <c r="J17" s="4">
        <f>((Assumptions!D28*Assumptions!D26*1000/1000000)+((Assumptions!D28*Assumptions!D26*1000/1000000)*Assumptions!D48)/(1+Assumptions!D47)^15+(Assumptions!D31*Assumptions!D26*1000/1000000)*((1-(1+Assumptions!D47)^(-30))/Assumptions!D47)+(Assumptions!D32*(Assumptions!D26*Assumptions!D30*8760)/1000000)*((1-(1+Assumptions!D47)^(-30))/Assumptions!D47)+((Assumptions!D26*Assumptions!D30*8760*1000)*Assumptions!D27/1000000*Assumptions!D12/1000000)*(((1+Assumptions!D13)/(Assumptions!D47-Assumptions!D13))*(1-((1+Assumptions!D13)/(1+Assumptions!D47))^30)))*1000000/((Assumptions!D26*Assumptions!D30*8760)*((1-(1+Assumptions!D47)^(-30))/Assumptions!D47))</f>
        <v>218.16681837028693</v>
      </c>
      <c r="K17" s="4">
        <f>((Assumptions!D28*Assumptions!D26*1000/1000000)+((Assumptions!D28*Assumptions!D26*1000/1000000)*Assumptions!D48)/(1+Assumptions!D47)^15+(Assumptions!D31*Assumptions!D26*1000/1000000)*((1-(1+Assumptions!D47)^(-40))/Assumptions!D47)+(Assumptions!D32*(Assumptions!D26*Assumptions!D30*8760)/1000000)*((1-(1+Assumptions!D47)^(-40))/Assumptions!D47)+((Assumptions!D26*Assumptions!D30*8760*1000)*Assumptions!D27/1000000*Assumptions!D12/1000000)*(((1+Assumptions!D13)/(Assumptions!D47-Assumptions!D13))*(1-((1+Assumptions!D13)/(1+Assumptions!D47))^40)))*1000000/((Assumptions!D26*Assumptions!D30*8760)*((1-(1+Assumptions!D47)^(-40))/Assumptions!D47))</f>
        <v>219.02321523210077</v>
      </c>
    </row>
    <row r="19" spans="2:11" ht="21.75" customHeight="1" x14ac:dyDescent="0.25">
      <c r="B19" s="153" t="s">
        <v>174</v>
      </c>
      <c r="C19" s="153"/>
      <c r="D19" s="153"/>
      <c r="E19" s="153"/>
      <c r="F19" s="153"/>
      <c r="G19" s="153"/>
      <c r="H19" s="153"/>
      <c r="I19" s="153"/>
      <c r="J19" s="153"/>
      <c r="K19" s="153"/>
    </row>
    <row r="20" spans="2:11" ht="18" customHeight="1" x14ac:dyDescent="0.25">
      <c r="B20" s="2" t="s">
        <v>13</v>
      </c>
      <c r="C20" s="3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9/1000000)*(((1+Assumptions!D13)/(Assumptions!D47-Assumptions!D13))*(1-((1+Assumptions!D13)/(1+Assumptions!D47))^10))+((Assumptions!D35*Assumptions!D39*8760)*1000*Assumptions!D36/1000000*Assumptions!D42/907.185*(Assumptions!D46/Assumptions!D45)/1000000)*(((1+Assumptions!D44)/(Assumptions!D47-Assumptions!D44))*(1-((1+Assumptions!D44)/(1+Assumptions!D47))^10)))*1000000/((Assumptions!D35*Assumptions!D39*8760)*((1-(1+Assumptions!D47)^(-10))/Assumptions!D47))</f>
        <v>156.91648774000271</v>
      </c>
      <c r="D20" s="3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9/1000000)*(((1+Assumptions!D13)/(Assumptions!D47-Assumptions!D13))*(1-((1+Assumptions!D13)/(1+Assumptions!D47))^20))+((Assumptions!D35*Assumptions!D39*8760)*1000*Assumptions!D36/1000000*Assumptions!D42/907.185*(Assumptions!D46/Assumptions!D45)/1000000)*(((1+Assumptions!D44)/(Assumptions!D47-Assumptions!D44))*(1-((1+Assumptions!D44)/(1+Assumptions!D47))^20)))*1000000/((Assumptions!D35*Assumptions!D39*8760)*((1-(1+Assumptions!D47)^(-20))/Assumptions!D47))</f>
        <v>132.1887222161827</v>
      </c>
      <c r="E20" s="3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9/1000000)*(((1+Assumptions!D13)/(Assumptions!D47-Assumptions!D13))*(1-((1+Assumptions!D13)/(1+Assumptions!D47))^30))+((Assumptions!D35*Assumptions!D39*8760)*1000*Assumptions!D36/1000000*Assumptions!D42/907.185*(Assumptions!D46/Assumptions!D45)/1000000)*(((1+Assumptions!D44)/(Assumptions!D47-Assumptions!D44))*(1-((1+Assumptions!D44)/(1+Assumptions!D47))^30)))*1000000/((Assumptions!D35*Assumptions!D39*8760)*((1-(1+Assumptions!D47)^(-30))/Assumptions!D47))</f>
        <v>126.11331346369845</v>
      </c>
      <c r="F20" s="3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9/1000000)*(((1+Assumptions!D13)/(Assumptions!D47-Assumptions!D13))*(1-((1+Assumptions!D13)/(1+Assumptions!D47))^40))+((Assumptions!D35*Assumptions!D39*8760)*1000*Assumptions!D36/1000000*Assumptions!D42/907.185*(Assumptions!D46/Assumptions!D45)/1000000)*(((1+Assumptions!D44)/(Assumptions!D47-Assumptions!D44))*(1-((1+Assumptions!D44)/(1+Assumptions!D47))^40)))*1000000/((Assumptions!D35*Assumptions!D39*8760)*((1-(1+Assumptions!D47)^(-40))/Assumptions!D47))</f>
        <v>125.46611812710944</v>
      </c>
      <c r="G20" s="39"/>
      <c r="H20" s="4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9/1000000)*(((1+Assumptions!D13)/(Assumptions!D47-Assumptions!D13))*(1-((1+Assumptions!D13)/(1+Assumptions!D47))^10)))*1000000/((Assumptions!D35*Assumptions!D39*8760)*((1-(1+Assumptions!D47)^(-10))/Assumptions!D47))</f>
        <v>145.11992724506669</v>
      </c>
      <c r="I20" s="4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9/1000000)*(((1+Assumptions!D13)/(Assumptions!D47-Assumptions!D13))*(1-((1+Assumptions!D13)/(1+Assumptions!D47))^20)))*1000000/((Assumptions!D35*Assumptions!D39*8760)*((1-(1+Assumptions!D47)^(-20))/Assumptions!D47))</f>
        <v>118.04364331193808</v>
      </c>
      <c r="J20" s="4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9/1000000)*(((1+Assumptions!D13)/(Assumptions!D47-Assumptions!D13))*(1-((1+Assumptions!D13)/(1+Assumptions!D47))^30)))*1000000/((Assumptions!D35*Assumptions!D39*8760)*((1-(1+Assumptions!D47)^(-30))/Assumptions!D47))</f>
        <v>109.77450482338077</v>
      </c>
      <c r="K20" s="4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9/1000000)*(((1+Assumptions!D13)/(Assumptions!D47-Assumptions!D13))*(1-((1+Assumptions!D13)/(1+Assumptions!D47))^40)))*1000000/((Assumptions!D35*Assumptions!D39*8760)*((1-(1+Assumptions!D47)^(-40))/Assumptions!D47))</f>
        <v>107.18993102027341</v>
      </c>
    </row>
    <row r="21" spans="2:11" ht="18" customHeight="1" x14ac:dyDescent="0.25">
      <c r="B21" s="8" t="s">
        <v>14</v>
      </c>
      <c r="C21" s="9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10/1000000)*(((1+Assumptions!D13)/(Assumptions!D47-Assumptions!D13))*(1-((1+Assumptions!D13)/(1+Assumptions!D47))^10))+((Assumptions!D35*Assumptions!D39*8760)*1000*Assumptions!D36/1000000*Assumptions!D42/907.185*(Assumptions!D46/Assumptions!D45)/1000000)*(((1+Assumptions!D44)/(Assumptions!D47-Assumptions!D44))*(1-((1+Assumptions!D44)/(1+Assumptions!D47))^10)))*1000000/((Assumptions!D35*Assumptions!D39*8760)*((1-(1+Assumptions!D47)^(-10))/Assumptions!D47))</f>
        <v>188.18681448488482</v>
      </c>
      <c r="D21" s="9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10/1000000)*(((1+Assumptions!D13)/(Assumptions!D47-Assumptions!D13))*(1-((1+Assumptions!D13)/(1+Assumptions!D47))^20))+((Assumptions!D35*Assumptions!D39*8760)*1000*Assumptions!D36/1000000*Assumptions!D42/907.185*(Assumptions!D46/Assumptions!D45)/1000000)*(((1+Assumptions!D44)/(Assumptions!D47-Assumptions!D44))*(1-((1+Assumptions!D44)/(1+Assumptions!D47))^20)))*1000000/((Assumptions!D35*Assumptions!D39*8760)*((1-(1+Assumptions!D47)^(-20))/Assumptions!D47))</f>
        <v>165.6268836119205</v>
      </c>
      <c r="E21" s="9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10/1000000)*(((1+Assumptions!D13)/(Assumptions!D47-Assumptions!D13))*(1-((1+Assumptions!D13)/(1+Assumptions!D47))^30))+((Assumptions!D35*Assumptions!D39*8760)*1000*Assumptions!D36/1000000*Assumptions!D42/907.185*(Assumptions!D46/Assumptions!D45)/1000000)*(((1+Assumptions!D44)/(Assumptions!D47-Assumptions!D44))*(1-((1+Assumptions!D44)/(1+Assumptions!D47))^30)))*1000000/((Assumptions!D35*Assumptions!D39*8760)*((1-(1+Assumptions!D47)^(-30))/Assumptions!D47))</f>
        <v>161.21747173344318</v>
      </c>
      <c r="F21" s="9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10/1000000)*(((1+Assumptions!D13)/(Assumptions!D47-Assumptions!D13))*(1-((1+Assumptions!D13)/(1+Assumptions!D47))^40))+((Assumptions!D35*Assumptions!D39*8760)*1000*Assumptions!D36/1000000*Assumptions!D42/907.185*(Assumptions!D46/Assumptions!D45)/1000000)*(((1+Assumptions!D44)/(Assumptions!D47-Assumptions!D44))*(1-((1+Assumptions!D44)/(1+Assumptions!D47))^40)))*1000000/((Assumptions!D35*Assumptions!D39*8760)*((1-(1+Assumptions!D47)^(-40))/Assumptions!D47))</f>
        <v>161.77467529579837</v>
      </c>
      <c r="G21" s="39"/>
      <c r="H21" s="4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10/1000000)*(((1+Assumptions!D13)/(Assumptions!D47-Assumptions!D13))*(1-((1+Assumptions!D13)/(1+Assumptions!D47))^10)))*1000000/((Assumptions!D35*Assumptions!D39*8760)*((1-(1+Assumptions!D47)^(-10))/Assumptions!D47))</f>
        <v>176.3902539899488</v>
      </c>
      <c r="I21" s="4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10/1000000)*(((1+Assumptions!D13)/(Assumptions!D47-Assumptions!D13))*(1-((1+Assumptions!D13)/(1+Assumptions!D47))^20)))*1000000/((Assumptions!D35*Assumptions!D39*8760)*((1-(1+Assumptions!D47)^(-20))/Assumptions!D47))</f>
        <v>151.48180470767588</v>
      </c>
      <c r="J21" s="4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10/1000000)*(((1+Assumptions!D13)/(Assumptions!D47-Assumptions!D13))*(1-((1+Assumptions!D13)/(1+Assumptions!D47))^30)))*1000000/((Assumptions!D35*Assumptions!D39*8760)*((1-(1+Assumptions!D47)^(-30))/Assumptions!D47))</f>
        <v>144.87866309312548</v>
      </c>
      <c r="K21" s="4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10/1000000)*(((1+Assumptions!D13)/(Assumptions!D47-Assumptions!D13))*(1-((1+Assumptions!D13)/(1+Assumptions!D47))^40)))*1000000/((Assumptions!D35*Assumptions!D39*8760)*((1-(1+Assumptions!D47)^(-40))/Assumptions!D47))</f>
        <v>143.49848818896234</v>
      </c>
    </row>
    <row r="22" spans="2:11" ht="18" customHeight="1" x14ac:dyDescent="0.25">
      <c r="B22" s="2" t="s">
        <v>15</v>
      </c>
      <c r="C22" s="3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11/1000000)*(((1+Assumptions!D13)/(Assumptions!D47-Assumptions!D13))*(1-((1+Assumptions!D13)/(1+Assumptions!D47))^10))+((Assumptions!D35*Assumptions!D39*8760)*1000*Assumptions!D36/1000000*Assumptions!D42/907.185*(Assumptions!D46/Assumptions!D45)/1000000)*(((1+Assumptions!D44)/(Assumptions!D47-Assumptions!D44))*(1-((1+Assumptions!D44)/(1+Assumptions!D47))^10)))*1000000/((Assumptions!D35*Assumptions!D39*8760)*((1-(1+Assumptions!D47)^(-10))/Assumptions!D47))</f>
        <v>219.45714122976696</v>
      </c>
      <c r="D22" s="3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11/1000000)*(((1+Assumptions!D13)/(Assumptions!D47-Assumptions!D13))*(1-((1+Assumptions!D13)/(1+Assumptions!D47))^20))+((Assumptions!D35*Assumptions!D39*8760)*1000*Assumptions!D36/1000000*Assumptions!D42/907.185*(Assumptions!D46/Assumptions!D45)/1000000)*(((1+Assumptions!D44)/(Assumptions!D47-Assumptions!D44))*(1-((1+Assumptions!D44)/(1+Assumptions!D47))^20)))*1000000/((Assumptions!D35*Assumptions!D39*8760)*((1-(1+Assumptions!D47)^(-20))/Assumptions!D47))</f>
        <v>199.06504500765826</v>
      </c>
      <c r="E22" s="3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11/1000000)*(((1+Assumptions!D13)/(Assumptions!D47-Assumptions!D13))*(1-((1+Assumptions!D13)/(1+Assumptions!D47))^30))+((Assumptions!D35*Assumptions!D39*8760)*1000*Assumptions!D36/1000000*Assumptions!D42/907.185*(Assumptions!D46/Assumptions!D45)/1000000)*(((1+Assumptions!D44)/(Assumptions!D47-Assumptions!D44))*(1-((1+Assumptions!D44)/(1+Assumptions!D47))^30)))*1000000/((Assumptions!D35*Assumptions!D39*8760)*((1-(1+Assumptions!D47)^(-30))/Assumptions!D47))</f>
        <v>196.32163000318789</v>
      </c>
      <c r="F22" s="3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11/1000000)*(((1+Assumptions!D13)/(Assumptions!D47-Assumptions!D13))*(1-((1+Assumptions!D13)/(1+Assumptions!D47))^40))+((Assumptions!D35*Assumptions!D39*8760)*1000*Assumptions!D36/1000000*Assumptions!D42/907.185*(Assumptions!D46/Assumptions!D45)/1000000)*(((1+Assumptions!D44)/(Assumptions!D47-Assumptions!D44))*(1-((1+Assumptions!D44)/(1+Assumptions!D47))^40)))*1000000/((Assumptions!D35*Assumptions!D39*8760)*((1-(1+Assumptions!D47)^(-40))/Assumptions!D47))</f>
        <v>198.08323246448737</v>
      </c>
      <c r="G22" s="39"/>
      <c r="H22" s="4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11/1000000)*(((1+Assumptions!D13)/(Assumptions!D47-Assumptions!D13))*(1-((1+Assumptions!D13)/(1+Assumptions!D47))^10)))*1000000/((Assumptions!D35*Assumptions!D39*8760)*((1-(1+Assumptions!D47)^(-10))/Assumptions!D47))</f>
        <v>207.66058073483094</v>
      </c>
      <c r="I22" s="4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11/1000000)*(((1+Assumptions!D13)/(Assumptions!D47-Assumptions!D13))*(1-((1+Assumptions!D13)/(1+Assumptions!D47))^20)))*1000000/((Assumptions!D35*Assumptions!D39*8760)*((1-(1+Assumptions!D47)^(-20))/Assumptions!D47))</f>
        <v>184.91996610341369</v>
      </c>
      <c r="J22" s="4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11/1000000)*(((1+Assumptions!D13)/(Assumptions!D47-Assumptions!D13))*(1-((1+Assumptions!D13)/(1+Assumptions!D47))^30)))*1000000/((Assumptions!D35*Assumptions!D39*8760)*((1-(1+Assumptions!D47)^(-30))/Assumptions!D47))</f>
        <v>179.98282136287023</v>
      </c>
      <c r="K22" s="4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11/1000000)*(((1+Assumptions!D13)/(Assumptions!D47-Assumptions!D13))*(1-((1+Assumptions!D13)/(1+Assumptions!D47))^40)))*1000000/((Assumptions!D35*Assumptions!D39*8760)*((1-(1+Assumptions!D47)^(-40))/Assumptions!D47))</f>
        <v>179.80704535765133</v>
      </c>
    </row>
    <row r="23" spans="2:11" ht="18" customHeight="1" x14ac:dyDescent="0.25">
      <c r="B23" s="8" t="s">
        <v>16</v>
      </c>
      <c r="C23" s="9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12/1000000)*(((1+Assumptions!D13)/(Assumptions!D47-Assumptions!D13))*(1-((1+Assumptions!D13)/(1+Assumptions!D47))^10))+((Assumptions!D35*Assumptions!D39*8760)*1000*Assumptions!D36/1000000*Assumptions!D42/907.185*(Assumptions!D46/Assumptions!D45)/1000000)*(((1+Assumptions!D44)/(Assumptions!D47-Assumptions!D44))*(1-((1+Assumptions!D44)/(1+Assumptions!D47))^10)))*1000000/((Assumptions!D35*Assumptions!D39*8760)*((1-(1+Assumptions!D47)^(-10))/Assumptions!D47))</f>
        <v>250.72746797464913</v>
      </c>
      <c r="D23" s="9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12/1000000)*(((1+Assumptions!D13)/(Assumptions!D47-Assumptions!D13))*(1-((1+Assumptions!D13)/(1+Assumptions!D47))^20))+((Assumptions!D35*Assumptions!D39*8760)*1000*Assumptions!D36/1000000*Assumptions!D42/907.185*(Assumptions!D46/Assumptions!D45)/1000000)*(((1+Assumptions!D44)/(Assumptions!D47-Assumptions!D44))*(1-((1+Assumptions!D44)/(1+Assumptions!D47))^20)))*1000000/((Assumptions!D35*Assumptions!D39*8760)*((1-(1+Assumptions!D47)^(-20))/Assumptions!D47))</f>
        <v>232.50320640339606</v>
      </c>
      <c r="E23" s="9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12/1000000)*(((1+Assumptions!D13)/(Assumptions!D47-Assumptions!D13))*(1-((1+Assumptions!D13)/(1+Assumptions!D47))^30))+((Assumptions!D35*Assumptions!D39*8760)*1000*Assumptions!D36/1000000*Assumptions!D42/907.185*(Assumptions!D46/Assumptions!D45)/1000000)*(((1+Assumptions!D44)/(Assumptions!D47-Assumptions!D44))*(1-((1+Assumptions!D44)/(1+Assumptions!D47))^30)))*1000000/((Assumptions!D35*Assumptions!D39*8760)*((1-(1+Assumptions!D47)^(-30))/Assumptions!D47))</f>
        <v>231.42578827293269</v>
      </c>
      <c r="F23" s="9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12/1000000)*(((1+Assumptions!D13)/(Assumptions!D47-Assumptions!D13))*(1-((1+Assumptions!D13)/(1+Assumptions!D47))^40))+((Assumptions!D35*Assumptions!D39*8760)*1000*Assumptions!D36/1000000*Assumptions!D42/907.185*(Assumptions!D46/Assumptions!D45)/1000000)*(((1+Assumptions!D44)/(Assumptions!D47-Assumptions!D44))*(1-((1+Assumptions!D44)/(1+Assumptions!D47))^40)))*1000000/((Assumptions!D35*Assumptions!D39*8760)*((1-(1+Assumptions!D47)^(-40))/Assumptions!D47))</f>
        <v>234.39178963317633</v>
      </c>
      <c r="G23" s="39"/>
      <c r="H23" s="4">
        <f>((Assumptions!D37*Assumptions!D35*1000/1000000)+(Assumptions!D40*Assumptions!D35*1000/1000000)*((1-(1+Assumptions!D47)^(-10))/Assumptions!D47)+(Assumptions!D41*(Assumptions!D35*Assumptions!D39*8760)/1000000)*((1-(1+Assumptions!D47)^(-10))/Assumptions!D47)+((Assumptions!D35*Assumptions!D39*8760*1000)*Assumptions!D36/1000000*Assumptions!D12/1000000)*(((1+Assumptions!D13)/(Assumptions!D47-Assumptions!D13))*(1-((1+Assumptions!D13)/(1+Assumptions!D47))^10)))*1000000/((Assumptions!D35*Assumptions!D39*8760)*((1-(1+Assumptions!D47)^(-10))/Assumptions!D47))</f>
        <v>238.93090747971311</v>
      </c>
      <c r="I23" s="4">
        <f>((Assumptions!D37*Assumptions!D35*1000/1000000)+((Assumptions!D37*Assumptions!D35*1000/1000000)*Assumptions!D48)/(1+Assumptions!D47)^15+(Assumptions!D40*Assumptions!D35*1000/1000000)*((1-(1+Assumptions!D47)^(-20))/Assumptions!D47)+(Assumptions!D41*(Assumptions!D35*Assumptions!D39*8760)/1000000)*((1-(1+Assumptions!D47)^(-20))/Assumptions!D47)+((Assumptions!D35*Assumptions!D39*8760*1000)*Assumptions!D36/1000000*Assumptions!D12/1000000)*(((1+Assumptions!D13)/(Assumptions!D47-Assumptions!D13))*(1-((1+Assumptions!D13)/(1+Assumptions!D47))^20)))*1000000/((Assumptions!D35*Assumptions!D39*8760)*((1-(1+Assumptions!D47)^(-20))/Assumptions!D47))</f>
        <v>218.35812749915149</v>
      </c>
      <c r="J23" s="4">
        <f>((Assumptions!D37*Assumptions!D35*1000/1000000)+((Assumptions!D37*Assumptions!D35*1000/1000000)*Assumptions!D48)/(1+Assumptions!D47)^15+(Assumptions!D40*Assumptions!D35*1000/1000000)*((1-(1+Assumptions!D47)^(-30))/Assumptions!D47)+(Assumptions!D41*(Assumptions!D35*Assumptions!D39*8760)/1000000)*((1-(1+Assumptions!D47)^(-30))/Assumptions!D47)+((Assumptions!D35*Assumptions!D39*8760*1000)*Assumptions!D36/1000000*Assumptions!D12/1000000)*(((1+Assumptions!D13)/(Assumptions!D47-Assumptions!D13))*(1-((1+Assumptions!D13)/(1+Assumptions!D47))^30)))*1000000/((Assumptions!D35*Assumptions!D39*8760)*((1-(1+Assumptions!D47)^(-30))/Assumptions!D47))</f>
        <v>215.086979632615</v>
      </c>
      <c r="K23" s="4">
        <f>((Assumptions!D37*Assumptions!D35*1000/1000000)+((Assumptions!D37*Assumptions!D35*1000/1000000)*Assumptions!D48)/(1+Assumptions!D47)^15+(Assumptions!D40*Assumptions!D35*1000/1000000)*((1-(1+Assumptions!D47)^(-40))/Assumptions!D47)+(Assumptions!D41*(Assumptions!D35*Assumptions!D39*8760)/1000000)*((1-(1+Assumptions!D47)^(-40))/Assumptions!D47)+((Assumptions!D35*Assumptions!D39*8760*1000)*Assumptions!D36/1000000*Assumptions!D12/1000000)*(((1+Assumptions!D13)/(Assumptions!D47-Assumptions!D13))*(1-((1+Assumptions!D13)/(1+Assumptions!D47))^40)))*1000000/((Assumptions!D35*Assumptions!D39*8760)*((1-(1+Assumptions!D47)^(-40))/Assumptions!D47))</f>
        <v>216.1156025263403</v>
      </c>
    </row>
    <row r="26" spans="2:11" ht="15" customHeight="1" x14ac:dyDescent="0.25">
      <c r="B26" s="152" t="s">
        <v>175</v>
      </c>
      <c r="C26" s="152"/>
      <c r="D26" s="152"/>
      <c r="E26" s="152"/>
      <c r="F26" s="152"/>
      <c r="G26" s="152"/>
      <c r="H26" s="152"/>
      <c r="I26" s="152"/>
      <c r="J26" s="152"/>
      <c r="K26" s="152"/>
    </row>
  </sheetData>
  <mergeCells count="8">
    <mergeCell ref="B13:K13"/>
    <mergeCell ref="B19:K19"/>
    <mergeCell ref="B26:K26"/>
    <mergeCell ref="B2:R2"/>
    <mergeCell ref="B3:R3"/>
    <mergeCell ref="C5:F5"/>
    <mergeCell ref="H5:K5"/>
    <mergeCell ref="B7:K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5" customHeight="1" x14ac:dyDescent="0.25"/>
  <cols>
    <col min="1" max="1" width="3" customWidth="1"/>
    <col min="2" max="2" width="38" customWidth="1"/>
    <col min="3" max="5" width="14" customWidth="1"/>
    <col min="6" max="6" width="60" customWidth="1"/>
    <col min="7" max="13" width="14" customWidth="1"/>
  </cols>
  <sheetData>
    <row r="2" spans="2:12" ht="27.75" customHeight="1" x14ac:dyDescent="0.25">
      <c r="B2" s="170" t="s">
        <v>176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2" ht="18" customHeight="1" x14ac:dyDescent="0.25">
      <c r="B3" s="164" t="s">
        <v>177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5" spans="2:12" ht="19.5" customHeight="1" x14ac:dyDescent="0.25">
      <c r="B5" s="171" t="s">
        <v>178</v>
      </c>
      <c r="C5" s="171"/>
      <c r="D5" s="171"/>
      <c r="E5" s="171"/>
      <c r="F5" s="171"/>
      <c r="G5" s="171"/>
      <c r="H5" s="171"/>
      <c r="I5" s="171"/>
    </row>
    <row r="6" spans="2:12" ht="30" customHeight="1" x14ac:dyDescent="0.25">
      <c r="B6" s="40" t="s">
        <v>179</v>
      </c>
      <c r="C6" s="40" t="s">
        <v>180</v>
      </c>
      <c r="D6" s="40" t="s">
        <v>181</v>
      </c>
      <c r="E6" s="40" t="s">
        <v>182</v>
      </c>
      <c r="F6" s="40" t="s">
        <v>183</v>
      </c>
    </row>
    <row r="7" spans="2:12" ht="16.5" customHeight="1" x14ac:dyDescent="0.25">
      <c r="B7" s="2" t="s">
        <v>184</v>
      </c>
      <c r="C7" s="3">
        <f>Assumptions!D49</f>
        <v>155</v>
      </c>
      <c r="D7" s="41">
        <v>810</v>
      </c>
      <c r="E7" s="42">
        <f>Assumptions!D49</f>
        <v>155</v>
      </c>
      <c r="F7" s="17" t="s">
        <v>185</v>
      </c>
    </row>
    <row r="8" spans="2:12" ht="16.5" customHeight="1" x14ac:dyDescent="0.25">
      <c r="B8" s="8" t="s">
        <v>186</v>
      </c>
      <c r="C8" s="9">
        <f>Assumptions!D50</f>
        <v>146</v>
      </c>
      <c r="D8" s="43">
        <v>924</v>
      </c>
      <c r="E8" s="44">
        <f>Assumptions!D50</f>
        <v>146</v>
      </c>
      <c r="F8" s="19" t="s">
        <v>187</v>
      </c>
    </row>
    <row r="9" spans="2:12" ht="16.5" customHeight="1" x14ac:dyDescent="0.25">
      <c r="B9" s="45" t="s">
        <v>188</v>
      </c>
      <c r="C9" s="46"/>
      <c r="D9" s="47"/>
      <c r="E9" s="48">
        <f>(Assumptions!D49*810+Assumptions!D50*924)/(810+924)</f>
        <v>150.20415224913495</v>
      </c>
      <c r="F9" s="49" t="s">
        <v>189</v>
      </c>
    </row>
    <row r="10" spans="2:12" ht="16.5" customHeight="1" x14ac:dyDescent="0.25">
      <c r="B10" s="8" t="s">
        <v>190</v>
      </c>
      <c r="C10" s="9">
        <f>Assumptions!D51</f>
        <v>129</v>
      </c>
      <c r="D10" s="43">
        <v>900</v>
      </c>
      <c r="E10" s="44">
        <f>Assumptions!D51</f>
        <v>129</v>
      </c>
      <c r="F10" s="19" t="s">
        <v>191</v>
      </c>
    </row>
    <row r="11" spans="2:12" ht="16.5" customHeight="1" x14ac:dyDescent="0.25">
      <c r="B11" s="2" t="s">
        <v>192</v>
      </c>
      <c r="C11" s="3">
        <f>Assumptions!D58</f>
        <v>79</v>
      </c>
      <c r="D11" s="41">
        <v>900</v>
      </c>
      <c r="E11" s="42">
        <f>Assumptions!D58</f>
        <v>79</v>
      </c>
      <c r="F11" s="17" t="s">
        <v>193</v>
      </c>
    </row>
    <row r="14" spans="2:12" ht="19.5" customHeight="1" x14ac:dyDescent="0.25">
      <c r="B14" s="171" t="s">
        <v>194</v>
      </c>
      <c r="C14" s="171"/>
      <c r="D14" s="171"/>
      <c r="E14" s="171"/>
      <c r="F14" s="171"/>
      <c r="G14" s="171"/>
      <c r="H14" s="171"/>
      <c r="I14" s="171"/>
      <c r="J14" s="171"/>
    </row>
    <row r="15" spans="2:12" ht="30" customHeight="1" x14ac:dyDescent="0.25">
      <c r="B15" s="40" t="s">
        <v>195</v>
      </c>
      <c r="C15" s="40" t="s">
        <v>167</v>
      </c>
      <c r="D15" s="40" t="s">
        <v>168</v>
      </c>
      <c r="E15" s="40" t="s">
        <v>196</v>
      </c>
      <c r="F15" s="40" t="s">
        <v>197</v>
      </c>
      <c r="G15" s="40" t="s">
        <v>198</v>
      </c>
    </row>
    <row r="16" spans="2:12" ht="18" customHeight="1" x14ac:dyDescent="0.25">
      <c r="B16" s="2" t="s">
        <v>199</v>
      </c>
      <c r="C16" s="41">
        <f>(Assumptions!D56*Assumptions!D54*8760)</f>
        <v>3311280</v>
      </c>
      <c r="D16" s="41">
        <f>(Assumptions!D56*Assumptions!D54*8760)</f>
        <v>3311280</v>
      </c>
      <c r="E16" s="41">
        <f>(Assumptions!D56*Assumptions!D54*8760)</f>
        <v>3311280</v>
      </c>
      <c r="F16" s="41">
        <f>(Assumptions!D56*Assumptions!D54*8760)</f>
        <v>3311280</v>
      </c>
      <c r="G16" s="41">
        <f>(Assumptions!D56*Assumptions!D54*8760)</f>
        <v>3311280</v>
      </c>
    </row>
    <row r="17" spans="2:12" ht="18" customHeight="1" x14ac:dyDescent="0.25">
      <c r="B17" s="8" t="s">
        <v>200</v>
      </c>
      <c r="C17" s="50">
        <f>(Assumptions!D53*Assumptions!D56*1000/1000000)</f>
        <v>108</v>
      </c>
      <c r="D17" s="50">
        <f>(Assumptions!D53*Assumptions!D56*1000/1000000)</f>
        <v>108</v>
      </c>
      <c r="E17" s="50">
        <f>(Assumptions!D53*Assumptions!D56*1000/1000000)</f>
        <v>108</v>
      </c>
      <c r="F17" s="50">
        <f>(Assumptions!D53*Assumptions!D56*1000/1000000)</f>
        <v>108</v>
      </c>
      <c r="G17" s="50">
        <f>(Assumptions!D53*Assumptions!D56*1000/1000000)</f>
        <v>108</v>
      </c>
    </row>
    <row r="18" spans="2:12" ht="18" customHeight="1" x14ac:dyDescent="0.25">
      <c r="B18" s="2" t="s">
        <v>201</v>
      </c>
      <c r="C18" s="51">
        <f>(Assumptions!D52*Assumptions!D56*1000/1000000)</f>
        <v>4950</v>
      </c>
      <c r="D18" s="51">
        <f>(Assumptions!D52*Assumptions!D56*1000/1000000)</f>
        <v>4950</v>
      </c>
      <c r="E18" s="51">
        <f>(Assumptions!D52*Assumptions!D56*1000/1000000)</f>
        <v>4950</v>
      </c>
      <c r="F18" s="51">
        <f>(Assumptions!D52*Assumptions!D56*1000/1000000)</f>
        <v>4950</v>
      </c>
      <c r="G18" s="51">
        <f>(Assumptions!D52*Assumptions!D56*1000/1000000)</f>
        <v>4950</v>
      </c>
    </row>
    <row r="19" spans="2:12" ht="18" customHeight="1" x14ac:dyDescent="0.25">
      <c r="B19" s="45" t="s">
        <v>202</v>
      </c>
      <c r="C19" s="48">
        <f>((Assumptions!D52*Assumptions!D56*1000/1000000)+(Assumptions!D53*Assumptions!D56*1000/1000000)*(((1+Assumptions!D59)/(Assumptions!D47-Assumptions!D59))*(1-((1+Assumptions!D59)/(1+Assumptions!D47))^10)))*1000000/((Assumptions!D56*Assumptions!D54*8760)*((1-(1+Assumptions!D47)^(-10))/Assumptions!D47))</f>
        <v>258.75825158752525</v>
      </c>
      <c r="D19" s="48">
        <f>((Assumptions!D52*Assumptions!D56*1000/1000000)+(Assumptions!D53*Assumptions!D56*1000/1000000)*(((1+Assumptions!D59)/(Assumptions!D47-Assumptions!D59))*(1-((1+Assumptions!D59)/(1+Assumptions!D47))^20)))*1000000/((Assumptions!D56*Assumptions!D54*8760)*((1-(1+Assumptions!D47)^(-20))/Assumptions!D47))</f>
        <v>190.72742433692062</v>
      </c>
      <c r="E19" s="48">
        <f>((Assumptions!D52*Assumptions!D56*1000/1000000)+(Assumptions!D53*Assumptions!D56*1000/1000000)*(((1+Assumptions!D59)/(Assumptions!D47-Assumptions!D59))*(1-((1+Assumptions!D59)/(1+Assumptions!D47))^25)))*1000000/((Assumptions!D56*Assumptions!D54*8760)*((1-(1+Assumptions!D47)^(-25))/Assumptions!D47))</f>
        <v>179.53831288220809</v>
      </c>
      <c r="F19" s="48">
        <f>((Assumptions!D52*Assumptions!D56*1000/1000000)+(Assumptions!D53*Assumptions!D56*1000/1000000)*(((1+Assumptions!D59)/(Assumptions!D47-Assumptions!D59))*(1-((1+Assumptions!D59)/(1+Assumptions!D47))^30)))*1000000/((Assumptions!D56*Assumptions!D54*8760)*((1-(1+Assumptions!D47)^(-30))/Assumptions!D47))</f>
        <v>173.17349242857216</v>
      </c>
      <c r="G19" s="48">
        <f>((Assumptions!D52*Assumptions!D56*1000/1000000)+(Assumptions!D53*Assumptions!D56*1000/1000000)*(((1+Assumptions!D59)/(Assumptions!D47-Assumptions!D59))*(1-((1+Assumptions!D59)/(1+Assumptions!D47))^40)))*1000000/((Assumptions!D56*Assumptions!D54*8760)*((1-(1+Assumptions!D47)^(-40))/Assumptions!D47))</f>
        <v>167.13358956399773</v>
      </c>
    </row>
    <row r="20" spans="2:12" ht="18" customHeight="1" x14ac:dyDescent="0.25">
      <c r="B20" s="2" t="s">
        <v>203</v>
      </c>
      <c r="C20" s="52" t="s">
        <v>204</v>
      </c>
      <c r="D20" s="52" t="s">
        <v>204</v>
      </c>
      <c r="E20" s="51">
        <f>((Assumptions!D52*Assumptions!D56*1000/1000000)*0.3)</f>
        <v>1485</v>
      </c>
      <c r="F20" s="51">
        <f>((Assumptions!D52*Assumptions!D56*1000/1000000)*0.3)</f>
        <v>1485</v>
      </c>
      <c r="G20" s="51">
        <f>((Assumptions!D52*Assumptions!D56*1000/1000000)*0.3)</f>
        <v>1485</v>
      </c>
    </row>
    <row r="21" spans="2:12" ht="18" customHeight="1" x14ac:dyDescent="0.25">
      <c r="B21" s="45" t="s">
        <v>205</v>
      </c>
      <c r="C21" s="48">
        <f>((Assumptions!D52*Assumptions!D56*1000/1000000)+(Assumptions!D53*Assumptions!D56*1000/1000000)*(((1+Assumptions!D59)/(Assumptions!D47-Assumptions!D59))*(1-((1+Assumptions!D59)/(1+Assumptions!D47))^10)))*1000000/((Assumptions!D56*Assumptions!D54*8760)*((1-(1+Assumptions!D47)^(-10))/Assumptions!D47))</f>
        <v>258.75825158752525</v>
      </c>
      <c r="D21" s="48">
        <f>((Assumptions!D52*Assumptions!D56*1000/1000000)+(Assumptions!D53*Assumptions!D56*1000/1000000)*(((1+Assumptions!D59)/(Assumptions!D47-Assumptions!D59))*(1-((1+Assumptions!D59)/(1+Assumptions!D47))^20)))*1000000/((Assumptions!D56*Assumptions!D54*8760)*((1-(1+Assumptions!D47)^(-20))/Assumptions!D47))</f>
        <v>190.72742433692062</v>
      </c>
      <c r="E21" s="48">
        <f>((Assumptions!D52*Assumptions!D56*1000/1000000)+(((Assumptions!D52*Assumptions!D56*1000/1000000)*0.3))/(1+Assumptions!D47)^25+(Assumptions!D53*Assumptions!D56*1000/1000000)*(((1+Assumptions!D59)/(Assumptions!D47-Assumptions!D59))*(1-((1+Assumptions!D59)/(1+Assumptions!D47))^25)))*1000000/((Assumptions!D56*Assumptions!D54*8760)*((1-(1+Assumptions!D47)^(-25))/Assumptions!D47))</f>
        <v>185.67279468144361</v>
      </c>
      <c r="F21" s="48">
        <f>((Assumptions!D52*Assumptions!D56*1000/1000000)+(((Assumptions!D52*Assumptions!D56*1000/1000000)*0.3))/(1+Assumptions!D47)^25+(Assumptions!D53*Assumptions!D56*1000/1000000)*(((1+Assumptions!D59)/(Assumptions!D47-Assumptions!D59))*(1-((1+Assumptions!D59)/(1+Assumptions!D47))^30)))*1000000/((Assumptions!D56*Assumptions!D54*8760)*((1-(1+Assumptions!D47)^(-30))/Assumptions!D47))</f>
        <v>178.99028763984131</v>
      </c>
      <c r="G21" s="48">
        <f>((Assumptions!D52*Assumptions!D56*1000/1000000)+(((Assumptions!D52*Assumptions!D56*1000/1000000)*0.3))/(1+Assumptions!D47)^25+(Assumptions!D53*Assumptions!D56*1000/1000000)*(((1+Assumptions!D59)/(Assumptions!D47-Assumptions!D59))*(1-((1+Assumptions!D59)/(1+Assumptions!D47))^40)))*1000000/((Assumptions!D56*Assumptions!D54*8760)*((1-(1+Assumptions!D47)^(-40))/Assumptions!D47))</f>
        <v>172.62510684904805</v>
      </c>
    </row>
    <row r="24" spans="2:12" ht="19.5" customHeight="1" x14ac:dyDescent="0.25">
      <c r="B24" s="148" t="s">
        <v>206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</row>
    <row r="25" spans="2:12" ht="33.75" customHeight="1" x14ac:dyDescent="0.25">
      <c r="B25" s="53" t="s">
        <v>207</v>
      </c>
      <c r="C25" s="53" t="s">
        <v>208</v>
      </c>
      <c r="D25" s="53" t="s">
        <v>209</v>
      </c>
      <c r="E25" s="53" t="s">
        <v>210</v>
      </c>
      <c r="F25" s="53" t="s">
        <v>211</v>
      </c>
      <c r="G25" s="53" t="s">
        <v>212</v>
      </c>
      <c r="H25" s="53" t="s">
        <v>167</v>
      </c>
      <c r="I25" s="53" t="s">
        <v>168</v>
      </c>
      <c r="J25" s="53" t="s">
        <v>169</v>
      </c>
      <c r="K25" s="53" t="s">
        <v>170</v>
      </c>
      <c r="L25" s="53" t="s">
        <v>183</v>
      </c>
    </row>
    <row r="26" spans="2:12" ht="19.5" customHeight="1" x14ac:dyDescent="0.25">
      <c r="B26" s="169" t="s">
        <v>213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</row>
    <row r="27" spans="2:12" ht="18" customHeight="1" x14ac:dyDescent="0.25">
      <c r="B27" s="54" t="s">
        <v>214</v>
      </c>
      <c r="C27" s="55">
        <v>1000</v>
      </c>
      <c r="D27" s="55">
        <v>4800</v>
      </c>
      <c r="E27" s="56">
        <f>Assumptions!D61*4800*1000/1000000</f>
        <v>1440</v>
      </c>
      <c r="F27" s="56">
        <f>E27*Assumptions!D64</f>
        <v>432</v>
      </c>
      <c r="G27" s="56">
        <f>E27-F27</f>
        <v>1008</v>
      </c>
      <c r="H27" s="57">
        <f>((Assumptions!D52*1000*1000/1000000)+((Assumptions!D61*4800*1000/1000000)*(1-Assumptions!D64))+(((Assumptions!D61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316.05071348682344</v>
      </c>
      <c r="I27" s="57">
        <f>((Assumptions!D52*1000*1000/1000000)+((Assumptions!D61*4800*1000/1000000)*(1-Assumptions!D64))+(((Assumptions!D61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231.27144654077483</v>
      </c>
      <c r="J27" s="57">
        <f>((Assumptions!D52*1000*1000/1000000)+((Assumptions!D61*4800*1000/1000000)*(1-Assumptions!D64))+(((Assumptions!D61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215.03318732054097</v>
      </c>
      <c r="K27" s="57">
        <f>((Assumptions!D52*1000*1000/1000000)+((Assumptions!D61*4800*1000/1000000)*(1-Assumptions!D64))+(((Assumptions!D61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207.01687464856352</v>
      </c>
      <c r="L27" s="58" t="s">
        <v>215</v>
      </c>
    </row>
    <row r="28" spans="2:12" ht="18" customHeight="1" x14ac:dyDescent="0.25">
      <c r="B28" s="59" t="s">
        <v>216</v>
      </c>
      <c r="C28" s="60">
        <v>1000</v>
      </c>
      <c r="D28" s="60">
        <v>4800</v>
      </c>
      <c r="E28" s="61">
        <f>Assumptions!D62*4800*1000/1000000</f>
        <v>1680</v>
      </c>
      <c r="F28" s="61">
        <f>E28*Assumptions!D64</f>
        <v>504</v>
      </c>
      <c r="G28" s="61">
        <f>E28-F28</f>
        <v>1176</v>
      </c>
      <c r="H28" s="62">
        <f>((Assumptions!D52*1000*1000/1000000)+((Assumptions!D62*4800*1000/1000000)*(1-Assumptions!D64))+(((Assumptions!D62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324.99986496355785</v>
      </c>
      <c r="I28" s="62">
        <f>((Assumptions!D52*1000*1000/1000000)+((Assumptions!D62*4800*1000/1000000)*(1-Assumptions!D64))+(((Assumptions!D62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237.38762430510371</v>
      </c>
      <c r="J28" s="62">
        <f>((Assumptions!D52*1000*1000/1000000)+((Assumptions!D62*4800*1000/1000000)*(1-Assumptions!D64))+(((Assumptions!D62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220.36723337828494</v>
      </c>
      <c r="K28" s="62">
        <f>((Assumptions!D52*1000*1000/1000000)+((Assumptions!D62*4800*1000/1000000)*(1-Assumptions!D64))+(((Assumptions!D62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212.05263833998706</v>
      </c>
      <c r="L28" s="63" t="s">
        <v>215</v>
      </c>
    </row>
    <row r="29" spans="2:12" ht="18" customHeight="1" x14ac:dyDescent="0.25">
      <c r="B29" s="64" t="s">
        <v>217</v>
      </c>
      <c r="C29" s="65">
        <v>1000</v>
      </c>
      <c r="D29" s="65">
        <v>4800</v>
      </c>
      <c r="E29" s="66">
        <f>Assumptions!D63*4800*1000/1000000</f>
        <v>1920</v>
      </c>
      <c r="F29" s="66">
        <f>E29*Assumptions!D64</f>
        <v>576</v>
      </c>
      <c r="G29" s="66">
        <f>E29-F29</f>
        <v>1344</v>
      </c>
      <c r="H29" s="67">
        <f>((Assumptions!D52*1000*1000/1000000)+((Assumptions!D63*4800*1000/1000000)*(1-Assumptions!D64))+(((Assumptions!D63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333.94901644029227</v>
      </c>
      <c r="I29" s="67">
        <f>((Assumptions!D52*1000*1000/1000000)+((Assumptions!D63*4800*1000/1000000)*(1-Assumptions!D64))+(((Assumptions!D63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243.50380206943265</v>
      </c>
      <c r="J29" s="67">
        <f>((Assumptions!D52*1000*1000/1000000)+((Assumptions!D63*4800*1000/1000000)*(1-Assumptions!D64))+(((Assumptions!D63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225.70127943602893</v>
      </c>
      <c r="K29" s="67">
        <f>((Assumptions!D52*1000*1000/1000000)+((Assumptions!D63*4800*1000/1000000)*(1-Assumptions!D64))+(((Assumptions!D63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217.08840203141057</v>
      </c>
      <c r="L29" s="68" t="s">
        <v>215</v>
      </c>
    </row>
    <row r="31" spans="2:12" ht="19.5" customHeight="1" x14ac:dyDescent="0.25">
      <c r="B31" s="169" t="s">
        <v>218</v>
      </c>
      <c r="C31" s="169"/>
      <c r="D31" s="169"/>
      <c r="E31" s="169"/>
      <c r="F31" s="169"/>
      <c r="G31" s="169"/>
      <c r="H31" s="169"/>
      <c r="I31" s="169"/>
      <c r="J31" s="169"/>
      <c r="K31" s="169"/>
      <c r="L31" s="169"/>
    </row>
    <row r="32" spans="2:12" ht="18" customHeight="1" x14ac:dyDescent="0.25">
      <c r="B32" s="54" t="s">
        <v>214</v>
      </c>
      <c r="C32" s="55">
        <v>317</v>
      </c>
      <c r="D32" s="55">
        <v>1520</v>
      </c>
      <c r="E32" s="56">
        <f>Assumptions!D61*1520*1000/1000000</f>
        <v>456</v>
      </c>
      <c r="F32" s="56">
        <f>E32*Assumptions!D64</f>
        <v>136.79999999999998</v>
      </c>
      <c r="G32" s="56">
        <f>E32-F32</f>
        <v>319.20000000000005</v>
      </c>
      <c r="H32" s="57">
        <f>((Assumptions!D52*316.6667*1000/1000000)+((Assumptions!D61*1520*1000/1000000)*(1-Assumptions!D64))+(((Assumptions!D61*1520*1000/1000000)*(1-Assumptions!D64))*Assumptions!D65/(1+Assumptions!D47)^6)+(((Assumptions!D53*316.6667*1000/1000000)+(Assumptions!D66*380*1000/1000000))*(((1+Assumptions!D59)/(Assumptions!D47-Assumptions!D59))*(1-((1+Assumptions!D59)/(1+Assumptions!D47))^10))))*1000000/((316.6667*Assumptions!D54*8760)*((1-(1+Assumptions!D47)^(-10))/Assumptions!D47))</f>
        <v>316.05070745603865</v>
      </c>
      <c r="I32" s="57">
        <f>((Assumptions!D52*316.6667*1000/1000000)+((Assumptions!D61*1520*1000/1000000)*(1-Assumptions!D64))+(((Assumptions!D61*1520*1000/1000000)*(1-Assumptions!D64))*Assumptions!D65/(1+Assumptions!D47)^6)+(((Assumptions!D53*316.6667*1000/1000000)+(Assumptions!D66*380*1000/1000000))*(((1+Assumptions!D59)/(Assumptions!D47-Assumptions!D59))*(1-((1+Assumptions!D59)/(1+Assumptions!D47))^20))))*1000000/((316.6667*Assumptions!D54*8760)*((1-(1+Assumptions!D47)^(-20))/Assumptions!D47))</f>
        <v>231.27144227298342</v>
      </c>
      <c r="J32" s="57">
        <f>((Assumptions!D52*316.6667*1000/1000000)+((Assumptions!D61*1520*1000/1000000)*(1-Assumptions!D64))+(((Assumptions!D61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30))))*1000000/((316.6667*Assumptions!D54*8760)*((1-(1+Assumptions!D47)^(-30))/Assumptions!D47))</f>
        <v>215.03318352655191</v>
      </c>
      <c r="K32" s="57">
        <f>((Assumptions!D52*316.6667*1000/1000000)+((Assumptions!D61*1520*1000/1000000)*(1-Assumptions!D64))+(((Assumptions!D61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40))))*1000000/((316.6667*Assumptions!D54*8760)*((1-(1+Assumptions!D47)^(-40))/Assumptions!D47))</f>
        <v>207.01687102837781</v>
      </c>
      <c r="L32" s="58" t="s">
        <v>219</v>
      </c>
    </row>
    <row r="33" spans="2:12" ht="18" customHeight="1" x14ac:dyDescent="0.25">
      <c r="B33" s="59" t="s">
        <v>216</v>
      </c>
      <c r="C33" s="60">
        <v>317</v>
      </c>
      <c r="D33" s="60">
        <v>1520</v>
      </c>
      <c r="E33" s="61">
        <f>Assumptions!D62*1520*1000/1000000</f>
        <v>532</v>
      </c>
      <c r="F33" s="61">
        <f>E33*Assumptions!D64</f>
        <v>159.6</v>
      </c>
      <c r="G33" s="61">
        <f>E33-F33</f>
        <v>372.4</v>
      </c>
      <c r="H33" s="62">
        <f>((Assumptions!D52*316.6667*1000/1000000)+((Assumptions!D62*1520*1000/1000000)*(1-Assumptions!D64))+(((Assumptions!D62*1520*1000/1000000)*(1-Assumptions!D64))*Assumptions!D65/(1+Assumptions!D47)^6)+(((Assumptions!D53*316.6667*1000/1000000)+(Assumptions!D66*380*1000/1000000))*(((1+Assumptions!D59)/(Assumptions!D47-Assumptions!D59))*(1-((1+Assumptions!D59)/(1+Assumptions!D47))^10))))*1000000/((316.6667*Assumptions!D54*8760)*((1-(1+Assumptions!D47)^(-10))/Assumptions!D47))</f>
        <v>324.99985799075722</v>
      </c>
      <c r="I33" s="62">
        <f>((Assumptions!D52*316.6667*1000/1000000)+((Assumptions!D62*1520*1000/1000000)*(1-Assumptions!D64))+(((Assumptions!D62*1520*1000/1000000)*(1-Assumptions!D64))*Assumptions!D65/(1+Assumptions!D47)^6)+(((Assumptions!D53*316.6667*1000/1000000)+(Assumptions!D66*380*1000/1000000))*(((1+Assumptions!D59)/(Assumptions!D47-Assumptions!D59))*(1-((1+Assumptions!D59)/(1+Assumptions!D47))^20))))*1000000/((316.6667*Assumptions!D54*8760)*((1-(1+Assumptions!D47)^(-20))/Assumptions!D47))</f>
        <v>237.38761939350422</v>
      </c>
      <c r="J33" s="62">
        <f>((Assumptions!D52*316.6667*1000/1000000)+((Assumptions!D62*1520*1000/1000000)*(1-Assumptions!D64))+(((Assumptions!D62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30))))*1000000/((316.6667*Assumptions!D54*8760)*((1-(1+Assumptions!D47)^(-30))/Assumptions!D47))</f>
        <v>220.36722902281741</v>
      </c>
      <c r="K33" s="62">
        <f>((Assumptions!D52*316.6667*1000/1000000)+((Assumptions!D62*1520*1000/1000000)*(1-Assumptions!D64))+(((Assumptions!D62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40))))*1000000/((316.6667*Assumptions!D54*8760)*((1-(1+Assumptions!D47)^(-40))/Assumptions!D47))</f>
        <v>212.052634189721</v>
      </c>
      <c r="L33" s="63" t="s">
        <v>219</v>
      </c>
    </row>
    <row r="34" spans="2:12" ht="18" customHeight="1" x14ac:dyDescent="0.25">
      <c r="B34" s="64" t="s">
        <v>217</v>
      </c>
      <c r="C34" s="65">
        <v>317</v>
      </c>
      <c r="D34" s="65">
        <v>1520</v>
      </c>
      <c r="E34" s="66">
        <f>Assumptions!D63*1520*1000/1000000</f>
        <v>608</v>
      </c>
      <c r="F34" s="66">
        <f>E34*Assumptions!D64</f>
        <v>182.4</v>
      </c>
      <c r="G34" s="66">
        <f>E34-F34</f>
        <v>425.6</v>
      </c>
      <c r="H34" s="67">
        <f>((Assumptions!D52*316.6667*1000/1000000)+((Assumptions!D63*1520*1000/1000000)*(1-Assumptions!D64))+(((Assumptions!D63*1520*1000/1000000)*(1-Assumptions!D64))*Assumptions!D65/(1+Assumptions!D47)^6)+(((Assumptions!D53*316.6667*1000/1000000)+(Assumptions!D66*380*1000/1000000))*(((1+Assumptions!D59)/(Assumptions!D47-Assumptions!D59))*(1-((1+Assumptions!D59)/(1+Assumptions!D47))^10))))*1000000/((316.6667*Assumptions!D54*8760)*((1-(1+Assumptions!D47)^(-10))/Assumptions!D47))</f>
        <v>333.94900852547579</v>
      </c>
      <c r="I34" s="67">
        <f>((Assumptions!D52*316.6667*1000/1000000)+((Assumptions!D63*1520*1000/1000000)*(1-Assumptions!D64))+(((Assumptions!D63*1520*1000/1000000)*(1-Assumptions!D64))*Assumptions!D65/(1+Assumptions!D47)^6)+(((Assumptions!D53*316.6667*1000/1000000)+(Assumptions!D66*380*1000/1000000))*(((1+Assumptions!D59)/(Assumptions!D47-Assumptions!D59))*(1-((1+Assumptions!D59)/(1+Assumptions!D47))^20))))*1000000/((316.6667*Assumptions!D54*8760)*((1-(1+Assumptions!D47)^(-20))/Assumptions!D47))</f>
        <v>243.503796514025</v>
      </c>
      <c r="J34" s="67">
        <f>((Assumptions!D52*316.6667*1000/1000000)+((Assumptions!D63*1520*1000/1000000)*(1-Assumptions!D64))+(((Assumptions!D63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30))))*1000000/((316.6667*Assumptions!D54*8760)*((1-(1+Assumptions!D47)^(-30))/Assumptions!D47))</f>
        <v>225.70127451908294</v>
      </c>
      <c r="K34" s="67">
        <f>((Assumptions!D52*316.6667*1000/1000000)+((Assumptions!D63*1520*1000/1000000)*(1-Assumptions!D64))+(((Assumptions!D63*1520*1000/1000000)*(1-Assumptions!D64))*Assumptions!D65/(1+Assumptions!D47)^6)+((Assumptions!D52*316.6667*1000/1000000)*0.3)/(1+Assumptions!D47)^25+(((Assumptions!D53*316.6667*1000/1000000)+(Assumptions!D66*380*1000/1000000))*(((1+Assumptions!D59)/(Assumptions!D47-Assumptions!D59))*(1-((1+Assumptions!D59)/(1+Assumptions!D47))^40))))*1000000/((316.6667*Assumptions!D54*8760)*((1-(1+Assumptions!D47)^(-40))/Assumptions!D47))</f>
        <v>217.08839735106426</v>
      </c>
      <c r="L34" s="68" t="s">
        <v>219</v>
      </c>
    </row>
    <row r="36" spans="2:12" ht="19.5" customHeight="1" x14ac:dyDescent="0.25">
      <c r="B36" s="169" t="s">
        <v>220</v>
      </c>
      <c r="C36" s="169"/>
      <c r="D36" s="169"/>
      <c r="E36" s="169"/>
      <c r="F36" s="169"/>
      <c r="G36" s="169"/>
      <c r="H36" s="169"/>
      <c r="I36" s="169"/>
      <c r="J36" s="169"/>
      <c r="K36" s="169"/>
      <c r="L36" s="169"/>
    </row>
    <row r="37" spans="2:12" ht="18" customHeight="1" x14ac:dyDescent="0.25">
      <c r="B37" s="54" t="s">
        <v>214</v>
      </c>
      <c r="C37" s="55">
        <v>333</v>
      </c>
      <c r="D37" s="55">
        <v>1600</v>
      </c>
      <c r="E37" s="56">
        <f>Assumptions!D61*1600*1000/1000000</f>
        <v>480</v>
      </c>
      <c r="F37" s="56">
        <f>E37*Assumptions!D64</f>
        <v>144</v>
      </c>
      <c r="G37" s="56">
        <f>E37-F37</f>
        <v>336</v>
      </c>
      <c r="H37" s="57">
        <f>((Assumptions!D52*333.3333*1000/1000000)+((Assumptions!D61*1600*1000/1000000)*(1-Assumptions!D64))+(((Assumptions!D61*1600*1000/1000000)*(1-Assumptions!D64))*Assumptions!D65/(1+Assumptions!D47)^6)+(((Assumptions!D53*333.3333*1000/1000000)+(Assumptions!D66*400*1000/1000000))*(((1+Assumptions!D59)/(Assumptions!D47-Assumptions!D59))*(1-((1+Assumptions!D59)/(1+Assumptions!D47))^10))))*1000000/((333.3333*Assumptions!D54*8760)*((1-(1+Assumptions!D47)^(-10))/Assumptions!D47))</f>
        <v>316.05071921607032</v>
      </c>
      <c r="I37" s="57">
        <f>((Assumptions!D52*333.3333*1000/1000000)+((Assumptions!D61*1600*1000/1000000)*(1-Assumptions!D64))+(((Assumptions!D61*1600*1000/1000000)*(1-Assumptions!D64))*Assumptions!D65/(1+Assumptions!D47)^6)+(((Assumptions!D53*333.3333*1000/1000000)+(Assumptions!D66*400*1000/1000000))*(((1+Assumptions!D59)/(Assumptions!D47-Assumptions!D59))*(1-((1+Assumptions!D59)/(1+Assumptions!D47))^20))))*1000000/((333.3333*Assumptions!D54*8760)*((1-(1+Assumptions!D47)^(-20))/Assumptions!D47))</f>
        <v>231.27145059517753</v>
      </c>
      <c r="J37" s="57">
        <f>((Assumptions!D52*333.3333*1000/1000000)+((Assumptions!D61*1600*1000/1000000)*(1-Assumptions!D64))+(((Assumptions!D61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30))))*1000000/((333.3333*Assumptions!D54*8760)*((1-(1+Assumptions!D47)^(-30))/Assumptions!D47))</f>
        <v>215.03319092483133</v>
      </c>
      <c r="K37" s="57">
        <f>((Assumptions!D52*333.3333*1000/1000000)+((Assumptions!D61*1600*1000/1000000)*(1-Assumptions!D64))+(((Assumptions!D61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40))))*1000000/((333.3333*Assumptions!D54*8760)*((1-(1+Assumptions!D47)^(-40))/Assumptions!D47))</f>
        <v>207.01687808774065</v>
      </c>
      <c r="L37" s="58" t="s">
        <v>221</v>
      </c>
    </row>
    <row r="38" spans="2:12" ht="18" customHeight="1" x14ac:dyDescent="0.25">
      <c r="B38" s="59" t="s">
        <v>216</v>
      </c>
      <c r="C38" s="60">
        <v>333</v>
      </c>
      <c r="D38" s="60">
        <v>1600</v>
      </c>
      <c r="E38" s="61">
        <f>Assumptions!D62*1600*1000/1000000</f>
        <v>560</v>
      </c>
      <c r="F38" s="61">
        <f>E38*Assumptions!D64</f>
        <v>168</v>
      </c>
      <c r="G38" s="61">
        <f>E38-F38</f>
        <v>392</v>
      </c>
      <c r="H38" s="62">
        <f>((Assumptions!D52*333.3333*1000/1000000)+((Assumptions!D62*1600*1000/1000000)*(1-Assumptions!D64))+(((Assumptions!D62*1600*1000/1000000)*(1-Assumptions!D64))*Assumptions!D65/(1+Assumptions!D47)^6)+(((Assumptions!D53*333.3333*1000/1000000)+(Assumptions!D66*400*1000/1000000))*(((1+Assumptions!D59)/(Assumptions!D47-Assumptions!D59))*(1-((1+Assumptions!D59)/(1+Assumptions!D47))^10))))*1000000/((333.3333*Assumptions!D54*8760)*((1-(1+Assumptions!D47)^(-10))/Assumptions!D47))</f>
        <v>324.99987158771995</v>
      </c>
      <c r="I38" s="62">
        <f>((Assumptions!D52*333.3333*1000/1000000)+((Assumptions!D62*1600*1000/1000000)*(1-Assumptions!D64))+(((Assumptions!D62*1600*1000/1000000)*(1-Assumptions!D64))*Assumptions!D65/(1+Assumptions!D47)^6)+(((Assumptions!D53*333.3333*1000/1000000)+(Assumptions!D66*400*1000/1000000))*(((1+Assumptions!D59)/(Assumptions!D47-Assumptions!D59))*(1-((1+Assumptions!D59)/(1+Assumptions!D47))^20))))*1000000/((333.3333*Assumptions!D54*8760)*((1-(1+Assumptions!D47)^(-20))/Assumptions!D47))</f>
        <v>237.38762897112423</v>
      </c>
      <c r="J38" s="62">
        <f>((Assumptions!D52*333.3333*1000/1000000)+((Assumptions!D62*1600*1000/1000000)*(1-Assumptions!D64))+(((Assumptions!D62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30))))*1000000/((333.3333*Assumptions!D54*8760)*((1-(1+Assumptions!D47)^(-30))/Assumptions!D47))</f>
        <v>220.36723751597995</v>
      </c>
      <c r="K38" s="62">
        <f>((Assumptions!D52*333.3333*1000/1000000)+((Assumptions!D62*1600*1000/1000000)*(1-Assumptions!D64))+(((Assumptions!D62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40))))*1000000/((333.3333*Assumptions!D54*8760)*((1-(1+Assumptions!D47)^(-40))/Assumptions!D47))</f>
        <v>212.05264228274063</v>
      </c>
      <c r="L38" s="63" t="s">
        <v>221</v>
      </c>
    </row>
    <row r="39" spans="2:12" ht="18" customHeight="1" x14ac:dyDescent="0.25">
      <c r="B39" s="64" t="s">
        <v>217</v>
      </c>
      <c r="C39" s="65">
        <v>333</v>
      </c>
      <c r="D39" s="65">
        <v>1600</v>
      </c>
      <c r="E39" s="66">
        <f>Assumptions!D63*1600*1000/1000000</f>
        <v>640</v>
      </c>
      <c r="F39" s="66">
        <f>E39*Assumptions!D64</f>
        <v>192</v>
      </c>
      <c r="G39" s="66">
        <f>E39-F39</f>
        <v>448</v>
      </c>
      <c r="H39" s="67">
        <f>((Assumptions!D52*333.3333*1000/1000000)+((Assumptions!D63*1600*1000/1000000)*(1-Assumptions!D64))+(((Assumptions!D63*1600*1000/1000000)*(1-Assumptions!D64))*Assumptions!D65/(1+Assumptions!D47)^6)+(((Assumptions!D53*333.3333*1000/1000000)+(Assumptions!D66*400*1000/1000000))*(((1+Assumptions!D59)/(Assumptions!D47-Assumptions!D59))*(1-((1+Assumptions!D59)/(1+Assumptions!D47))^10))))*1000000/((333.3333*Assumptions!D54*8760)*((1-(1+Assumptions!D47)^(-10))/Assumptions!D47))</f>
        <v>333.94902395936958</v>
      </c>
      <c r="I39" s="67">
        <f>((Assumptions!D52*333.3333*1000/1000000)+((Assumptions!D63*1600*1000/1000000)*(1-Assumptions!D64))+(((Assumptions!D63*1600*1000/1000000)*(1-Assumptions!D64))*Assumptions!D65/(1+Assumptions!D47)^6)+(((Assumptions!D53*333.3333*1000/1000000)+(Assumptions!D66*400*1000/1000000))*(((1+Assumptions!D59)/(Assumptions!D47-Assumptions!D59))*(1-((1+Assumptions!D59)/(1+Assumptions!D47))^20))))*1000000/((333.3333*Assumptions!D54*8760)*((1-(1+Assumptions!D47)^(-20))/Assumptions!D47))</f>
        <v>243.50380734707096</v>
      </c>
      <c r="J39" s="67">
        <f>((Assumptions!D52*333.3333*1000/1000000)+((Assumptions!D63*1600*1000/1000000)*(1-Assumptions!D64))+(((Assumptions!D63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30))))*1000000/((333.3333*Assumptions!D54*8760)*((1-(1+Assumptions!D47)^(-30))/Assumptions!D47))</f>
        <v>225.70128410712854</v>
      </c>
      <c r="K39" s="67">
        <f>((Assumptions!D52*333.3333*1000/1000000)+((Assumptions!D63*1600*1000/1000000)*(1-Assumptions!D64))+(((Assumptions!D63*1600*1000/1000000)*(1-Assumptions!D64))*Assumptions!D65/(1+Assumptions!D47)^6)+((Assumptions!D52*333.3333*1000/1000000)*0.3)/(1+Assumptions!D47)^25+(((Assumptions!D53*333.3333*1000/1000000)+(Assumptions!D66*400*1000/1000000))*(((1+Assumptions!D59)/(Assumptions!D47-Assumptions!D59))*(1-((1+Assumptions!D59)/(1+Assumptions!D47))^40))))*1000000/((333.3333*Assumptions!D54*8760)*((1-(1+Assumptions!D47)^(-40))/Assumptions!D47))</f>
        <v>217.08840647774056</v>
      </c>
      <c r="L39" s="68" t="s">
        <v>221</v>
      </c>
    </row>
    <row r="42" spans="2:12" ht="15" customHeight="1" x14ac:dyDescent="0.25">
      <c r="B42" s="152" t="s">
        <v>222</v>
      </c>
      <c r="C42" s="152"/>
      <c r="D42" s="152"/>
      <c r="E42" s="152"/>
      <c r="F42" s="152"/>
      <c r="G42" s="152"/>
      <c r="H42" s="152"/>
      <c r="I42" s="152"/>
      <c r="J42" s="152"/>
      <c r="K42" s="152"/>
      <c r="L42" s="152"/>
    </row>
  </sheetData>
  <mergeCells count="9">
    <mergeCell ref="B26:L26"/>
    <mergeCell ref="B31:L31"/>
    <mergeCell ref="B36:L36"/>
    <mergeCell ref="B42:L42"/>
    <mergeCell ref="B2:L2"/>
    <mergeCell ref="B3:L3"/>
    <mergeCell ref="B5:I5"/>
    <mergeCell ref="B14:J14"/>
    <mergeCell ref="B24:L2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27"/>
  <sheetViews>
    <sheetView showGridLines="0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8.7109375" defaultRowHeight="15" customHeight="1" x14ac:dyDescent="0.25"/>
  <cols>
    <col min="1" max="1" width="3" customWidth="1"/>
    <col min="2" max="2" width="24" customWidth="1"/>
    <col min="3" max="3" width="22" customWidth="1"/>
    <col min="4" max="21" width="12" customWidth="1"/>
  </cols>
  <sheetData>
    <row r="2" spans="2:19" ht="27.75" customHeight="1" x14ac:dyDescent="0.25">
      <c r="B2" s="158" t="s">
        <v>223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2:19" ht="18" customHeight="1" x14ac:dyDescent="0.25">
      <c r="B3" s="164" t="s">
        <v>224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</row>
    <row r="5" spans="2:19" ht="19.5" customHeight="1" x14ac:dyDescent="0.25">
      <c r="B5" s="157" t="s">
        <v>225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2:19" ht="24" customHeight="1" x14ac:dyDescent="0.25">
      <c r="D6" s="160" t="s">
        <v>226</v>
      </c>
      <c r="E6" s="160"/>
      <c r="F6" s="160"/>
      <c r="G6" s="160"/>
      <c r="H6" s="172" t="s">
        <v>227</v>
      </c>
      <c r="I6" s="172"/>
      <c r="J6" s="172"/>
      <c r="K6" s="172"/>
      <c r="L6" s="155" t="s">
        <v>228</v>
      </c>
      <c r="M6" s="155"/>
      <c r="N6" s="155"/>
      <c r="O6" s="155"/>
      <c r="P6" s="173" t="s">
        <v>229</v>
      </c>
      <c r="Q6" s="173"/>
      <c r="R6" s="173"/>
    </row>
    <row r="7" spans="2:19" ht="33.75" customHeight="1" x14ac:dyDescent="0.25">
      <c r="B7" s="1" t="s">
        <v>230</v>
      </c>
      <c r="C7" s="1" t="s">
        <v>3</v>
      </c>
      <c r="D7" s="1" t="s">
        <v>231</v>
      </c>
      <c r="E7" s="1" t="s">
        <v>232</v>
      </c>
      <c r="F7" s="1" t="s">
        <v>233</v>
      </c>
      <c r="G7" s="1" t="s">
        <v>234</v>
      </c>
      <c r="H7" s="1" t="s">
        <v>231</v>
      </c>
      <c r="I7" s="1" t="s">
        <v>232</v>
      </c>
      <c r="J7" s="1" t="s">
        <v>233</v>
      </c>
      <c r="K7" s="1" t="s">
        <v>234</v>
      </c>
      <c r="L7" s="1" t="s">
        <v>231</v>
      </c>
      <c r="M7" s="1" t="s">
        <v>232</v>
      </c>
      <c r="N7" s="1" t="s">
        <v>233</v>
      </c>
      <c r="O7" s="1" t="s">
        <v>234</v>
      </c>
      <c r="P7" s="1" t="s">
        <v>235</v>
      </c>
      <c r="Q7" s="1" t="s">
        <v>236</v>
      </c>
      <c r="R7" s="1" t="s">
        <v>237</v>
      </c>
      <c r="S7" s="1" t="s">
        <v>238</v>
      </c>
    </row>
    <row r="8" spans="2:19" ht="19.5" customHeight="1" x14ac:dyDescent="0.25">
      <c r="B8" s="153" t="s">
        <v>172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</row>
    <row r="9" spans="2:19" ht="18" customHeight="1" x14ac:dyDescent="0.25">
      <c r="B9" s="69" t="s">
        <v>239</v>
      </c>
      <c r="C9" s="17" t="s">
        <v>13</v>
      </c>
      <c r="D9" s="70">
        <f>'Gas Plant LCOE'!C8</f>
        <v>156.91648774000271</v>
      </c>
      <c r="E9" s="70">
        <f>'Gas Plant LCOE'!D8</f>
        <v>132.1887222161827</v>
      </c>
      <c r="F9" s="70">
        <f>'Gas Plant LCOE'!E8</f>
        <v>126.11331346369846</v>
      </c>
      <c r="G9" s="70">
        <f>'Gas Plant LCOE'!F8</f>
        <v>125.46611812710941</v>
      </c>
      <c r="H9" s="71">
        <f>'Gas Plant LCOE'!H8</f>
        <v>145.11992724506669</v>
      </c>
      <c r="I9" s="71">
        <f>'Gas Plant LCOE'!I8</f>
        <v>118.04364331193808</v>
      </c>
      <c r="J9" s="71">
        <f>'Gas Plant LCOE'!J8</f>
        <v>109.77450482338077</v>
      </c>
      <c r="K9" s="71">
        <f>'Gas Plant LCOE'!K8</f>
        <v>107.18993102027339</v>
      </c>
      <c r="L9" s="72">
        <f>'Offshore Wind LCOE'!C19</f>
        <v>258.75825158752525</v>
      </c>
      <c r="M9" s="72">
        <f>'Offshore Wind LCOE'!D19</f>
        <v>190.72742433692062</v>
      </c>
      <c r="N9" s="72">
        <f>'Offshore Wind LCOE'!F19</f>
        <v>173.17349242857216</v>
      </c>
      <c r="O9" s="72">
        <f>'Offshore Wind LCOE'!G19</f>
        <v>167.13358956399773</v>
      </c>
      <c r="P9" s="62">
        <f>'Offshore Wind LCOE'!I27</f>
        <v>231.27144654077483</v>
      </c>
      <c r="Q9" s="62">
        <f>'Offshore Wind LCOE'!I28</f>
        <v>237.38762430510371</v>
      </c>
      <c r="R9" s="62">
        <f>'Offshore Wind LCOE'!I29</f>
        <v>243.50380206943265</v>
      </c>
      <c r="S9" s="7" t="str">
        <f>IF(E9&gt;Q9,"OSW+BESS cheaper",IF(E9&gt;M9,"OSW standalone cheaper","Gas CC cheaper"))</f>
        <v>Gas CC cheaper</v>
      </c>
    </row>
    <row r="10" spans="2:19" ht="18" customHeight="1" x14ac:dyDescent="0.25">
      <c r="B10" s="8" t="s">
        <v>239</v>
      </c>
      <c r="C10" s="19" t="s">
        <v>14</v>
      </c>
      <c r="D10" s="73">
        <f>'Gas Plant LCOE'!C9</f>
        <v>188.18681448488482</v>
      </c>
      <c r="E10" s="73">
        <f>'Gas Plant LCOE'!D9</f>
        <v>165.62688361192053</v>
      </c>
      <c r="F10" s="73">
        <f>'Gas Plant LCOE'!E9</f>
        <v>161.2174717334432</v>
      </c>
      <c r="G10" s="73">
        <f>'Gas Plant LCOE'!F9</f>
        <v>161.77467529579837</v>
      </c>
      <c r="H10" s="71">
        <f>'Gas Plant LCOE'!H9</f>
        <v>176.39025398994883</v>
      </c>
      <c r="I10" s="71">
        <f>'Gas Plant LCOE'!I9</f>
        <v>151.48180470767588</v>
      </c>
      <c r="J10" s="71">
        <f>'Gas Plant LCOE'!J9</f>
        <v>144.87866309312551</v>
      </c>
      <c r="K10" s="71">
        <f>'Gas Plant LCOE'!K9</f>
        <v>143.49848818896234</v>
      </c>
      <c r="L10" s="72">
        <f>'Offshore Wind LCOE'!C19</f>
        <v>258.75825158752525</v>
      </c>
      <c r="M10" s="72">
        <f>'Offshore Wind LCOE'!D19</f>
        <v>190.72742433692062</v>
      </c>
      <c r="N10" s="72">
        <f>'Offshore Wind LCOE'!F19</f>
        <v>173.17349242857216</v>
      </c>
      <c r="O10" s="72">
        <f>'Offshore Wind LCOE'!G19</f>
        <v>167.13358956399773</v>
      </c>
      <c r="P10" s="62">
        <f>'Offshore Wind LCOE'!I27</f>
        <v>231.27144654077483</v>
      </c>
      <c r="Q10" s="62">
        <f>'Offshore Wind LCOE'!I28</f>
        <v>237.38762430510371</v>
      </c>
      <c r="R10" s="62">
        <f>'Offshore Wind LCOE'!I29</f>
        <v>243.50380206943265</v>
      </c>
      <c r="S10" s="11" t="str">
        <f>IF(E10&gt;Q10,"OSW+BESS cheaper",IF(E10&gt;M10,"OSW standalone cheaper","Gas CC cheaper"))</f>
        <v>Gas CC cheaper</v>
      </c>
    </row>
    <row r="11" spans="2:19" ht="18" customHeight="1" x14ac:dyDescent="0.25">
      <c r="B11" s="2" t="s">
        <v>239</v>
      </c>
      <c r="C11" s="17" t="s">
        <v>15</v>
      </c>
      <c r="D11" s="70">
        <f>'Gas Plant LCOE'!C10</f>
        <v>219.45714122976699</v>
      </c>
      <c r="E11" s="70">
        <f>'Gas Plant LCOE'!D10</f>
        <v>199.06504500765831</v>
      </c>
      <c r="F11" s="70">
        <f>'Gas Plant LCOE'!E10</f>
        <v>196.32163000318795</v>
      </c>
      <c r="G11" s="70">
        <f>'Gas Plant LCOE'!F10</f>
        <v>198.08323246448734</v>
      </c>
      <c r="H11" s="71">
        <f>'Gas Plant LCOE'!H10</f>
        <v>207.66058073483097</v>
      </c>
      <c r="I11" s="71">
        <f>'Gas Plant LCOE'!I10</f>
        <v>184.91996610341369</v>
      </c>
      <c r="J11" s="71">
        <f>'Gas Plant LCOE'!J10</f>
        <v>179.98282136287023</v>
      </c>
      <c r="K11" s="71">
        <f>'Gas Plant LCOE'!K10</f>
        <v>179.80704535765133</v>
      </c>
      <c r="L11" s="72">
        <f>'Offshore Wind LCOE'!C19</f>
        <v>258.75825158752525</v>
      </c>
      <c r="M11" s="72">
        <f>'Offshore Wind LCOE'!D19</f>
        <v>190.72742433692062</v>
      </c>
      <c r="N11" s="72">
        <f>'Offshore Wind LCOE'!F19</f>
        <v>173.17349242857216</v>
      </c>
      <c r="O11" s="72">
        <f>'Offshore Wind LCOE'!G19</f>
        <v>167.13358956399773</v>
      </c>
      <c r="P11" s="62">
        <f>'Offshore Wind LCOE'!I27</f>
        <v>231.27144654077483</v>
      </c>
      <c r="Q11" s="62">
        <f>'Offshore Wind LCOE'!I28</f>
        <v>237.38762430510371</v>
      </c>
      <c r="R11" s="62">
        <f>'Offshore Wind LCOE'!I29</f>
        <v>243.50380206943265</v>
      </c>
      <c r="S11" s="7" t="str">
        <f>IF(E11&gt;Q11,"OSW+BESS cheaper",IF(E11&gt;M11,"OSW standalone cheaper","Gas CC cheaper"))</f>
        <v>OSW standalone cheaper</v>
      </c>
    </row>
    <row r="12" spans="2:19" ht="18" customHeight="1" x14ac:dyDescent="0.25">
      <c r="B12" s="8" t="s">
        <v>239</v>
      </c>
      <c r="C12" s="19" t="s">
        <v>16</v>
      </c>
      <c r="D12" s="73">
        <f>'Gas Plant LCOE'!C11</f>
        <v>250.72746797464913</v>
      </c>
      <c r="E12" s="73">
        <f>'Gas Plant LCOE'!D11</f>
        <v>232.50320640339609</v>
      </c>
      <c r="F12" s="73">
        <f>'Gas Plant LCOE'!E11</f>
        <v>231.42578827293266</v>
      </c>
      <c r="G12" s="73">
        <f>'Gas Plant LCOE'!F11</f>
        <v>234.39178963317633</v>
      </c>
      <c r="H12" s="71">
        <f>'Gas Plant LCOE'!H11</f>
        <v>238.93090747971314</v>
      </c>
      <c r="I12" s="71">
        <f>'Gas Plant LCOE'!I11</f>
        <v>218.35812749915146</v>
      </c>
      <c r="J12" s="71">
        <f>'Gas Plant LCOE'!J11</f>
        <v>215.08697963261497</v>
      </c>
      <c r="K12" s="71">
        <f>'Gas Plant LCOE'!K11</f>
        <v>216.1156025263403</v>
      </c>
      <c r="L12" s="72">
        <f>'Offshore Wind LCOE'!C19</f>
        <v>258.75825158752525</v>
      </c>
      <c r="M12" s="72">
        <f>'Offshore Wind LCOE'!D19</f>
        <v>190.72742433692062</v>
      </c>
      <c r="N12" s="72">
        <f>'Offshore Wind LCOE'!F19</f>
        <v>173.17349242857216</v>
      </c>
      <c r="O12" s="72">
        <f>'Offshore Wind LCOE'!G19</f>
        <v>167.13358956399773</v>
      </c>
      <c r="P12" s="62">
        <f>'Offshore Wind LCOE'!I27</f>
        <v>231.27144654077483</v>
      </c>
      <c r="Q12" s="62">
        <f>'Offshore Wind LCOE'!I28</f>
        <v>237.38762430510371</v>
      </c>
      <c r="R12" s="62">
        <f>'Offshore Wind LCOE'!I29</f>
        <v>243.50380206943265</v>
      </c>
      <c r="S12" s="11" t="str">
        <f>IF(E12&gt;Q12,"OSW+BESS cheaper",IF(E12&gt;M12,"OSW standalone cheaper","Gas CC cheaper"))</f>
        <v>OSW standalone cheaper</v>
      </c>
    </row>
    <row r="14" spans="2:19" ht="19.5" customHeight="1" x14ac:dyDescent="0.25">
      <c r="B14" s="153" t="s">
        <v>173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</row>
    <row r="15" spans="2:19" ht="18" customHeight="1" x14ac:dyDescent="0.25">
      <c r="B15" s="69" t="s">
        <v>240</v>
      </c>
      <c r="C15" s="17" t="s">
        <v>13</v>
      </c>
      <c r="D15" s="70">
        <f>'Gas Plant LCOE'!C14</f>
        <v>161.77720165706319</v>
      </c>
      <c r="E15" s="70">
        <f>'Gas Plant LCOE'!D14</f>
        <v>135.72015801578939</v>
      </c>
      <c r="F15" s="70">
        <f>'Gas Plant LCOE'!E14</f>
        <v>129.1931522013704</v>
      </c>
      <c r="G15" s="70">
        <f>'Gas Plant LCOE'!F14</f>
        <v>128.37373083286991</v>
      </c>
      <c r="H15" s="71">
        <f>'Gas Plant LCOE'!H14</f>
        <v>149.9806411621272</v>
      </c>
      <c r="I15" s="71">
        <f>'Gas Plant LCOE'!I14</f>
        <v>121.57507911154478</v>
      </c>
      <c r="J15" s="71">
        <f>'Gas Plant LCOE'!J14</f>
        <v>112.85434356105269</v>
      </c>
      <c r="K15" s="71">
        <f>'Gas Plant LCOE'!K14</f>
        <v>110.0975437260339</v>
      </c>
      <c r="L15" s="72">
        <f>'Offshore Wind LCOE'!C19</f>
        <v>258.75825158752525</v>
      </c>
      <c r="M15" s="72">
        <f>'Offshore Wind LCOE'!D19</f>
        <v>190.72742433692062</v>
      </c>
      <c r="N15" s="72">
        <f>'Offshore Wind LCOE'!F19</f>
        <v>173.17349242857216</v>
      </c>
      <c r="O15" s="72">
        <f>'Offshore Wind LCOE'!G19</f>
        <v>167.13358956399773</v>
      </c>
      <c r="P15" s="62">
        <f>'Offshore Wind LCOE'!I32</f>
        <v>231.27144227298342</v>
      </c>
      <c r="Q15" s="62">
        <f>'Offshore Wind LCOE'!I33</f>
        <v>237.38761939350422</v>
      </c>
      <c r="R15" s="62">
        <f>'Offshore Wind LCOE'!I34</f>
        <v>243.503796514025</v>
      </c>
      <c r="S15" s="7" t="str">
        <f>IF(E15&gt;Q15,"OSW+BESS cheaper",IF(E15&gt;M15,"OSW standalone cheaper","Gas CC cheaper"))</f>
        <v>Gas CC cheaper</v>
      </c>
    </row>
    <row r="16" spans="2:19" ht="18" customHeight="1" x14ac:dyDescent="0.25">
      <c r="B16" s="8" t="s">
        <v>240</v>
      </c>
      <c r="C16" s="19" t="s">
        <v>14</v>
      </c>
      <c r="D16" s="73">
        <f>'Gas Plant LCOE'!C15</f>
        <v>193.04752840194533</v>
      </c>
      <c r="E16" s="73">
        <f>'Gas Plant LCOE'!D15</f>
        <v>169.1583194115272</v>
      </c>
      <c r="F16" s="73">
        <f>'Gas Plant LCOE'!E15</f>
        <v>164.29731047111517</v>
      </c>
      <c r="G16" s="73">
        <f>'Gas Plant LCOE'!F15</f>
        <v>164.6822880015589</v>
      </c>
      <c r="H16" s="71">
        <f>'Gas Plant LCOE'!H15</f>
        <v>181.25096790700934</v>
      </c>
      <c r="I16" s="71">
        <f>'Gas Plant LCOE'!I15</f>
        <v>155.01324050728257</v>
      </c>
      <c r="J16" s="71">
        <f>'Gas Plant LCOE'!J15</f>
        <v>147.95850183079745</v>
      </c>
      <c r="K16" s="71">
        <f>'Gas Plant LCOE'!K15</f>
        <v>146.40610089472287</v>
      </c>
      <c r="L16" s="72">
        <f>'Offshore Wind LCOE'!C19</f>
        <v>258.75825158752525</v>
      </c>
      <c r="M16" s="72">
        <f>'Offshore Wind LCOE'!D19</f>
        <v>190.72742433692062</v>
      </c>
      <c r="N16" s="72">
        <f>'Offshore Wind LCOE'!F19</f>
        <v>173.17349242857216</v>
      </c>
      <c r="O16" s="72">
        <f>'Offshore Wind LCOE'!G19</f>
        <v>167.13358956399773</v>
      </c>
      <c r="P16" s="62">
        <f>'Offshore Wind LCOE'!I32</f>
        <v>231.27144227298342</v>
      </c>
      <c r="Q16" s="62">
        <f>'Offshore Wind LCOE'!I33</f>
        <v>237.38761939350422</v>
      </c>
      <c r="R16" s="62">
        <f>'Offshore Wind LCOE'!I34</f>
        <v>243.503796514025</v>
      </c>
      <c r="S16" s="11" t="str">
        <f>IF(E16&gt;Q16,"OSW+BESS cheaper",IF(E16&gt;M16,"OSW standalone cheaper","Gas CC cheaper"))</f>
        <v>Gas CC cheaper</v>
      </c>
    </row>
    <row r="17" spans="2:19" ht="18" customHeight="1" x14ac:dyDescent="0.25">
      <c r="B17" s="2" t="s">
        <v>240</v>
      </c>
      <c r="C17" s="17" t="s">
        <v>15</v>
      </c>
      <c r="D17" s="70">
        <f>'Gas Plant LCOE'!C16</f>
        <v>224.3178551468275</v>
      </c>
      <c r="E17" s="70">
        <f>'Gas Plant LCOE'!D16</f>
        <v>202.59648080726495</v>
      </c>
      <c r="F17" s="70">
        <f>'Gas Plant LCOE'!E16</f>
        <v>199.40146874085985</v>
      </c>
      <c r="G17" s="70">
        <f>'Gas Plant LCOE'!F16</f>
        <v>200.99084517024787</v>
      </c>
      <c r="H17" s="71">
        <f>'Gas Plant LCOE'!H16</f>
        <v>212.52129465189148</v>
      </c>
      <c r="I17" s="71">
        <f>'Gas Plant LCOE'!I16</f>
        <v>188.45140190302033</v>
      </c>
      <c r="J17" s="71">
        <f>'Gas Plant LCOE'!J16</f>
        <v>183.06266010054219</v>
      </c>
      <c r="K17" s="71">
        <f>'Gas Plant LCOE'!K16</f>
        <v>182.71465806341183</v>
      </c>
      <c r="L17" s="72">
        <f>'Offshore Wind LCOE'!C19</f>
        <v>258.75825158752525</v>
      </c>
      <c r="M17" s="72">
        <f>'Offshore Wind LCOE'!D19</f>
        <v>190.72742433692062</v>
      </c>
      <c r="N17" s="72">
        <f>'Offshore Wind LCOE'!F19</f>
        <v>173.17349242857216</v>
      </c>
      <c r="O17" s="72">
        <f>'Offshore Wind LCOE'!G19</f>
        <v>167.13358956399773</v>
      </c>
      <c r="P17" s="62">
        <f>'Offshore Wind LCOE'!I32</f>
        <v>231.27144227298342</v>
      </c>
      <c r="Q17" s="62">
        <f>'Offshore Wind LCOE'!I33</f>
        <v>237.38761939350422</v>
      </c>
      <c r="R17" s="62">
        <f>'Offshore Wind LCOE'!I34</f>
        <v>243.503796514025</v>
      </c>
      <c r="S17" s="7" t="str">
        <f>IF(E17&gt;Q17,"OSW+BESS cheaper",IF(E17&gt;M17,"OSW standalone cheaper","Gas CC cheaper"))</f>
        <v>OSW standalone cheaper</v>
      </c>
    </row>
    <row r="18" spans="2:19" ht="18" customHeight="1" x14ac:dyDescent="0.25">
      <c r="B18" s="8" t="s">
        <v>240</v>
      </c>
      <c r="C18" s="19" t="s">
        <v>16</v>
      </c>
      <c r="D18" s="73">
        <f>'Gas Plant LCOE'!C17</f>
        <v>255.58818189170964</v>
      </c>
      <c r="E18" s="73">
        <f>'Gas Plant LCOE'!D17</f>
        <v>236.03464220300276</v>
      </c>
      <c r="F18" s="73">
        <f>'Gas Plant LCOE'!E17</f>
        <v>234.50562701060466</v>
      </c>
      <c r="G18" s="73">
        <f>'Gas Plant LCOE'!F17</f>
        <v>237.2994023389368</v>
      </c>
      <c r="H18" s="71">
        <f>'Gas Plant LCOE'!H17</f>
        <v>243.79162139677362</v>
      </c>
      <c r="I18" s="71">
        <f>'Gas Plant LCOE'!I17</f>
        <v>221.88956329875813</v>
      </c>
      <c r="J18" s="71">
        <f>'Gas Plant LCOE'!J17</f>
        <v>218.16681837028693</v>
      </c>
      <c r="K18" s="71">
        <f>'Gas Plant LCOE'!K17</f>
        <v>219.02321523210077</v>
      </c>
      <c r="L18" s="72">
        <f>'Offshore Wind LCOE'!C19</f>
        <v>258.75825158752525</v>
      </c>
      <c r="M18" s="72">
        <f>'Offshore Wind LCOE'!D19</f>
        <v>190.72742433692062</v>
      </c>
      <c r="N18" s="72">
        <f>'Offshore Wind LCOE'!F19</f>
        <v>173.17349242857216</v>
      </c>
      <c r="O18" s="72">
        <f>'Offshore Wind LCOE'!G19</f>
        <v>167.13358956399773</v>
      </c>
      <c r="P18" s="62">
        <f>'Offshore Wind LCOE'!I32</f>
        <v>231.27144227298342</v>
      </c>
      <c r="Q18" s="62">
        <f>'Offshore Wind LCOE'!I33</f>
        <v>237.38761939350422</v>
      </c>
      <c r="R18" s="62">
        <f>'Offshore Wind LCOE'!I34</f>
        <v>243.503796514025</v>
      </c>
      <c r="S18" s="11" t="str">
        <f>IF(E18&gt;Q18,"OSW+BESS cheaper",IF(E18&gt;M18,"OSW standalone cheaper","Gas CC cheaper"))</f>
        <v>OSW standalone cheaper</v>
      </c>
    </row>
    <row r="20" spans="2:19" ht="19.5" customHeight="1" x14ac:dyDescent="0.25">
      <c r="B20" s="153" t="s">
        <v>174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</row>
    <row r="21" spans="2:19" ht="18" customHeight="1" x14ac:dyDescent="0.25">
      <c r="B21" s="69" t="s">
        <v>241</v>
      </c>
      <c r="C21" s="17" t="s">
        <v>13</v>
      </c>
      <c r="D21" s="70">
        <f>'Gas Plant LCOE'!C20</f>
        <v>156.91648774000271</v>
      </c>
      <c r="E21" s="70">
        <f>'Gas Plant LCOE'!D20</f>
        <v>132.1887222161827</v>
      </c>
      <c r="F21" s="70">
        <f>'Gas Plant LCOE'!E20</f>
        <v>126.11331346369845</v>
      </c>
      <c r="G21" s="70">
        <f>'Gas Plant LCOE'!F20</f>
        <v>125.46611812710944</v>
      </c>
      <c r="H21" s="71">
        <f>'Gas Plant LCOE'!H20</f>
        <v>145.11992724506669</v>
      </c>
      <c r="I21" s="71">
        <f>'Gas Plant LCOE'!I20</f>
        <v>118.04364331193808</v>
      </c>
      <c r="J21" s="71">
        <f>'Gas Plant LCOE'!J20</f>
        <v>109.77450482338077</v>
      </c>
      <c r="K21" s="71">
        <f>'Gas Plant LCOE'!K20</f>
        <v>107.18993102027341</v>
      </c>
      <c r="L21" s="72">
        <f>'Offshore Wind LCOE'!C19</f>
        <v>258.75825158752525</v>
      </c>
      <c r="M21" s="72">
        <f>'Offshore Wind LCOE'!D19</f>
        <v>190.72742433692062</v>
      </c>
      <c r="N21" s="72">
        <f>'Offshore Wind LCOE'!F19</f>
        <v>173.17349242857216</v>
      </c>
      <c r="O21" s="72">
        <f>'Offshore Wind LCOE'!G19</f>
        <v>167.13358956399773</v>
      </c>
      <c r="P21" s="62">
        <f>'Offshore Wind LCOE'!I37</f>
        <v>231.27145059517753</v>
      </c>
      <c r="Q21" s="62">
        <f>'Offshore Wind LCOE'!I38</f>
        <v>237.38762897112423</v>
      </c>
      <c r="R21" s="62">
        <f>'Offshore Wind LCOE'!I39</f>
        <v>243.50380734707096</v>
      </c>
      <c r="S21" s="7" t="str">
        <f>IF(E21&gt;Q21,"OSW+BESS cheaper",IF(E21&gt;M21,"OSW standalone cheaper","Gas CC cheaper"))</f>
        <v>Gas CC cheaper</v>
      </c>
    </row>
    <row r="22" spans="2:19" ht="18" customHeight="1" x14ac:dyDescent="0.25">
      <c r="B22" s="8" t="s">
        <v>241</v>
      </c>
      <c r="C22" s="19" t="s">
        <v>14</v>
      </c>
      <c r="D22" s="73">
        <f>'Gas Plant LCOE'!C21</f>
        <v>188.18681448488482</v>
      </c>
      <c r="E22" s="73">
        <f>'Gas Plant LCOE'!D21</f>
        <v>165.6268836119205</v>
      </c>
      <c r="F22" s="73">
        <f>'Gas Plant LCOE'!E21</f>
        <v>161.21747173344318</v>
      </c>
      <c r="G22" s="73">
        <f>'Gas Plant LCOE'!F21</f>
        <v>161.77467529579837</v>
      </c>
      <c r="H22" s="71">
        <f>'Gas Plant LCOE'!H21</f>
        <v>176.3902539899488</v>
      </c>
      <c r="I22" s="71">
        <f>'Gas Plant LCOE'!I21</f>
        <v>151.48180470767588</v>
      </c>
      <c r="J22" s="71">
        <f>'Gas Plant LCOE'!J21</f>
        <v>144.87866309312548</v>
      </c>
      <c r="K22" s="71">
        <f>'Gas Plant LCOE'!K21</f>
        <v>143.49848818896234</v>
      </c>
      <c r="L22" s="72">
        <f>'Offshore Wind LCOE'!C19</f>
        <v>258.75825158752525</v>
      </c>
      <c r="M22" s="72">
        <f>'Offshore Wind LCOE'!D19</f>
        <v>190.72742433692062</v>
      </c>
      <c r="N22" s="72">
        <f>'Offshore Wind LCOE'!F19</f>
        <v>173.17349242857216</v>
      </c>
      <c r="O22" s="72">
        <f>'Offshore Wind LCOE'!G19</f>
        <v>167.13358956399773</v>
      </c>
      <c r="P22" s="62">
        <f>'Offshore Wind LCOE'!I37</f>
        <v>231.27145059517753</v>
      </c>
      <c r="Q22" s="62">
        <f>'Offshore Wind LCOE'!I38</f>
        <v>237.38762897112423</v>
      </c>
      <c r="R22" s="62">
        <f>'Offshore Wind LCOE'!I39</f>
        <v>243.50380734707096</v>
      </c>
      <c r="S22" s="11" t="str">
        <f>IF(E22&gt;Q22,"OSW+BESS cheaper",IF(E22&gt;M22,"OSW standalone cheaper","Gas CC cheaper"))</f>
        <v>Gas CC cheaper</v>
      </c>
    </row>
    <row r="23" spans="2:19" ht="18" customHeight="1" x14ac:dyDescent="0.25">
      <c r="B23" s="2" t="s">
        <v>241</v>
      </c>
      <c r="C23" s="17" t="s">
        <v>15</v>
      </c>
      <c r="D23" s="70">
        <f>'Gas Plant LCOE'!C22</f>
        <v>219.45714122976696</v>
      </c>
      <c r="E23" s="70">
        <f>'Gas Plant LCOE'!D22</f>
        <v>199.06504500765826</v>
      </c>
      <c r="F23" s="70">
        <f>'Gas Plant LCOE'!E22</f>
        <v>196.32163000318789</v>
      </c>
      <c r="G23" s="70">
        <f>'Gas Plant LCOE'!F22</f>
        <v>198.08323246448737</v>
      </c>
      <c r="H23" s="71">
        <f>'Gas Plant LCOE'!H22</f>
        <v>207.66058073483094</v>
      </c>
      <c r="I23" s="71">
        <f>'Gas Plant LCOE'!I22</f>
        <v>184.91996610341369</v>
      </c>
      <c r="J23" s="71">
        <f>'Gas Plant LCOE'!J22</f>
        <v>179.98282136287023</v>
      </c>
      <c r="K23" s="71">
        <f>'Gas Plant LCOE'!K22</f>
        <v>179.80704535765133</v>
      </c>
      <c r="L23" s="72">
        <f>'Offshore Wind LCOE'!C19</f>
        <v>258.75825158752525</v>
      </c>
      <c r="M23" s="72">
        <f>'Offshore Wind LCOE'!D19</f>
        <v>190.72742433692062</v>
      </c>
      <c r="N23" s="72">
        <f>'Offshore Wind LCOE'!F19</f>
        <v>173.17349242857216</v>
      </c>
      <c r="O23" s="72">
        <f>'Offshore Wind LCOE'!G19</f>
        <v>167.13358956399773</v>
      </c>
      <c r="P23" s="62">
        <f>'Offshore Wind LCOE'!I37</f>
        <v>231.27145059517753</v>
      </c>
      <c r="Q23" s="62">
        <f>'Offshore Wind LCOE'!I38</f>
        <v>237.38762897112423</v>
      </c>
      <c r="R23" s="62">
        <f>'Offshore Wind LCOE'!I39</f>
        <v>243.50380734707096</v>
      </c>
      <c r="S23" s="7" t="str">
        <f>IF(E23&gt;Q23,"OSW+BESS cheaper",IF(E23&gt;M23,"OSW standalone cheaper","Gas CC cheaper"))</f>
        <v>OSW standalone cheaper</v>
      </c>
    </row>
    <row r="24" spans="2:19" ht="18" customHeight="1" x14ac:dyDescent="0.25">
      <c r="B24" s="8" t="s">
        <v>241</v>
      </c>
      <c r="C24" s="19" t="s">
        <v>16</v>
      </c>
      <c r="D24" s="73">
        <f>'Gas Plant LCOE'!C23</f>
        <v>250.72746797464913</v>
      </c>
      <c r="E24" s="73">
        <f>'Gas Plant LCOE'!D23</f>
        <v>232.50320640339606</v>
      </c>
      <c r="F24" s="73">
        <f>'Gas Plant LCOE'!E23</f>
        <v>231.42578827293269</v>
      </c>
      <c r="G24" s="73">
        <f>'Gas Plant LCOE'!F23</f>
        <v>234.39178963317633</v>
      </c>
      <c r="H24" s="71">
        <f>'Gas Plant LCOE'!H23</f>
        <v>238.93090747971311</v>
      </c>
      <c r="I24" s="71">
        <f>'Gas Plant LCOE'!I23</f>
        <v>218.35812749915149</v>
      </c>
      <c r="J24" s="71">
        <f>'Gas Plant LCOE'!J23</f>
        <v>215.086979632615</v>
      </c>
      <c r="K24" s="71">
        <f>'Gas Plant LCOE'!K23</f>
        <v>216.1156025263403</v>
      </c>
      <c r="L24" s="72">
        <f>'Offshore Wind LCOE'!C19</f>
        <v>258.75825158752525</v>
      </c>
      <c r="M24" s="72">
        <f>'Offshore Wind LCOE'!D19</f>
        <v>190.72742433692062</v>
      </c>
      <c r="N24" s="72">
        <f>'Offshore Wind LCOE'!F19</f>
        <v>173.17349242857216</v>
      </c>
      <c r="O24" s="72">
        <f>'Offshore Wind LCOE'!G19</f>
        <v>167.13358956399773</v>
      </c>
      <c r="P24" s="62">
        <f>'Offshore Wind LCOE'!I37</f>
        <v>231.27145059517753</v>
      </c>
      <c r="Q24" s="62">
        <f>'Offshore Wind LCOE'!I38</f>
        <v>237.38762897112423</v>
      </c>
      <c r="R24" s="62">
        <f>'Offshore Wind LCOE'!I39</f>
        <v>243.50380734707096</v>
      </c>
      <c r="S24" s="11" t="str">
        <f>IF(E24&gt;Q24,"OSW+BESS cheaper",IF(E24&gt;M24,"OSW standalone cheaper","Gas CC cheaper"))</f>
        <v>OSW standalone cheaper</v>
      </c>
    </row>
    <row r="27" spans="2:19" ht="15" customHeight="1" x14ac:dyDescent="0.25">
      <c r="B27" s="152" t="s">
        <v>242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</row>
  </sheetData>
  <mergeCells count="11">
    <mergeCell ref="B8:S8"/>
    <mergeCell ref="B14:S14"/>
    <mergeCell ref="B20:S20"/>
    <mergeCell ref="B27:S27"/>
    <mergeCell ref="B2:S2"/>
    <mergeCell ref="B3:S3"/>
    <mergeCell ref="B5:S5"/>
    <mergeCell ref="D6:G6"/>
    <mergeCell ref="H6:K6"/>
    <mergeCell ref="L6:O6"/>
    <mergeCell ref="P6:R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24"/>
  <sheetViews>
    <sheetView showGridLines="0" topLeftCell="A52" zoomScaleNormal="100" workbookViewId="0"/>
  </sheetViews>
  <sheetFormatPr defaultColWidth="8.7109375" defaultRowHeight="15" customHeight="1" x14ac:dyDescent="0.25"/>
  <cols>
    <col min="1" max="1" width="3" customWidth="1"/>
  </cols>
  <sheetData>
    <row r="2" spans="2:20" ht="30" customHeight="1" x14ac:dyDescent="0.25">
      <c r="B2" s="166" t="s">
        <v>243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4" spans="2:20" ht="19.5" customHeight="1" x14ac:dyDescent="0.25">
      <c r="B4" s="157" t="s">
        <v>244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2:20" ht="21.75" customHeight="1" x14ac:dyDescent="0.25">
      <c r="B5" s="74" t="s">
        <v>245</v>
      </c>
      <c r="C5" s="74" t="s">
        <v>246</v>
      </c>
      <c r="D5" s="74" t="s">
        <v>247</v>
      </c>
      <c r="E5" s="74" t="s">
        <v>248</v>
      </c>
      <c r="F5" s="74" t="s">
        <v>249</v>
      </c>
      <c r="G5" s="74" t="s">
        <v>250</v>
      </c>
      <c r="H5" s="74" t="s">
        <v>251</v>
      </c>
      <c r="I5" s="74" t="s">
        <v>252</v>
      </c>
    </row>
    <row r="6" spans="2:20" ht="18" customHeight="1" x14ac:dyDescent="0.25">
      <c r="B6" s="12" t="s">
        <v>253</v>
      </c>
      <c r="C6" s="3">
        <f>'Gas Plant LCOE'!D8</f>
        <v>132.1887222161827</v>
      </c>
      <c r="D6" s="3">
        <f>'Gas Plant LCOE'!D14</f>
        <v>135.72015801578939</v>
      </c>
      <c r="E6" s="3">
        <f>'Gas Plant LCOE'!D20</f>
        <v>132.1887222161827</v>
      </c>
    </row>
    <row r="7" spans="2:20" ht="18" customHeight="1" x14ac:dyDescent="0.25">
      <c r="B7" s="75" t="s">
        <v>254</v>
      </c>
      <c r="C7" s="9">
        <f>'Gas Plant LCOE'!I8</f>
        <v>118.04364331193808</v>
      </c>
      <c r="D7" s="9">
        <f>'Gas Plant LCOE'!I14</f>
        <v>121.57507911154478</v>
      </c>
      <c r="E7" s="9">
        <f>'Gas Plant LCOE'!I20</f>
        <v>118.04364331193808</v>
      </c>
    </row>
    <row r="8" spans="2:20" ht="18" customHeight="1" x14ac:dyDescent="0.25">
      <c r="B8" s="76" t="s">
        <v>249</v>
      </c>
      <c r="C8" s="3">
        <f>'Offshore Wind LCOE'!D19</f>
        <v>190.72742433692062</v>
      </c>
      <c r="D8" s="3">
        <f>'Offshore Wind LCOE'!D19</f>
        <v>190.72742433692062</v>
      </c>
      <c r="E8" s="3">
        <f>'Offshore Wind LCOE'!D19</f>
        <v>190.72742433692062</v>
      </c>
    </row>
    <row r="9" spans="2:20" ht="18" customHeight="1" x14ac:dyDescent="0.25">
      <c r="B9" s="77" t="s">
        <v>255</v>
      </c>
      <c r="C9" s="9">
        <f>'Offshore Wind LCOE'!I27</f>
        <v>231.27144654077483</v>
      </c>
      <c r="D9" s="9">
        <f>'Offshore Wind LCOE'!I27</f>
        <v>231.27144654077483</v>
      </c>
      <c r="E9" s="9">
        <f>'Offshore Wind LCOE'!I27</f>
        <v>231.27144654077483</v>
      </c>
    </row>
    <row r="10" spans="2:20" ht="18" customHeight="1" x14ac:dyDescent="0.25">
      <c r="B10" s="78" t="s">
        <v>256</v>
      </c>
      <c r="C10" s="3">
        <f>'Offshore Wind LCOE'!I28</f>
        <v>237.38762430510371</v>
      </c>
      <c r="D10" s="3">
        <f>'Offshore Wind LCOE'!I28</f>
        <v>237.38762430510371</v>
      </c>
      <c r="E10" s="3">
        <f>'Offshore Wind LCOE'!I28</f>
        <v>237.38762430510371</v>
      </c>
    </row>
    <row r="11" spans="2:20" ht="18" customHeight="1" x14ac:dyDescent="0.25">
      <c r="B11" s="79" t="s">
        <v>257</v>
      </c>
      <c r="C11" s="9">
        <f>'Offshore Wind LCOE'!I29</f>
        <v>243.50380206943265</v>
      </c>
      <c r="D11" s="9">
        <f>'Offshore Wind LCOE'!I29</f>
        <v>243.50380206943265</v>
      </c>
      <c r="E11" s="9">
        <f>'Offshore Wind LCOE'!I29</f>
        <v>243.50380206943265</v>
      </c>
    </row>
    <row r="15" spans="2:20" ht="19.5" customHeight="1" x14ac:dyDescent="0.25">
      <c r="B15" s="157" t="s">
        <v>258</v>
      </c>
      <c r="C15" s="157"/>
      <c r="D15" s="157"/>
      <c r="E15" s="157"/>
      <c r="F15" s="157"/>
      <c r="G15" s="157"/>
      <c r="H15" s="157"/>
      <c r="I15" s="157"/>
      <c r="J15" s="157"/>
      <c r="K15" s="157"/>
    </row>
    <row r="16" spans="2:20" ht="21.75" customHeight="1" x14ac:dyDescent="0.25">
      <c r="B16" s="74" t="s">
        <v>259</v>
      </c>
      <c r="C16" s="74" t="s">
        <v>167</v>
      </c>
      <c r="D16" s="74" t="s">
        <v>168</v>
      </c>
      <c r="E16" s="74" t="s">
        <v>169</v>
      </c>
      <c r="F16" s="74" t="s">
        <v>170</v>
      </c>
    </row>
    <row r="17" spans="2:6" ht="18" customHeight="1" x14ac:dyDescent="0.25">
      <c r="B17" s="2" t="s">
        <v>260</v>
      </c>
      <c r="C17" s="3">
        <f>'Gas Plant LCOE'!C8</f>
        <v>156.91648774000271</v>
      </c>
      <c r="D17" s="3">
        <f>'Gas Plant LCOE'!D8</f>
        <v>132.1887222161827</v>
      </c>
      <c r="E17" s="3">
        <f>'Gas Plant LCOE'!E8</f>
        <v>126.11331346369846</v>
      </c>
      <c r="F17" s="3">
        <f>'Gas Plant LCOE'!F8</f>
        <v>125.46611812710941</v>
      </c>
    </row>
    <row r="18" spans="2:6" ht="18" customHeight="1" x14ac:dyDescent="0.25">
      <c r="B18" s="8" t="s">
        <v>261</v>
      </c>
      <c r="C18" s="9">
        <f>'Gas Plant LCOE'!C9</f>
        <v>188.18681448488482</v>
      </c>
      <c r="D18" s="9">
        <f>'Gas Plant LCOE'!D9</f>
        <v>165.62688361192053</v>
      </c>
      <c r="E18" s="9">
        <f>'Gas Plant LCOE'!E9</f>
        <v>161.2174717334432</v>
      </c>
      <c r="F18" s="9">
        <f>'Gas Plant LCOE'!F9</f>
        <v>161.77467529579837</v>
      </c>
    </row>
    <row r="19" spans="2:6" ht="18" customHeight="1" x14ac:dyDescent="0.25">
      <c r="B19" s="2" t="s">
        <v>262</v>
      </c>
      <c r="C19" s="3">
        <f>'Gas Plant LCOE'!C10</f>
        <v>219.45714122976699</v>
      </c>
      <c r="D19" s="3">
        <f>'Gas Plant LCOE'!D10</f>
        <v>199.06504500765831</v>
      </c>
      <c r="E19" s="3">
        <f>'Gas Plant LCOE'!E10</f>
        <v>196.32163000318795</v>
      </c>
      <c r="F19" s="3">
        <f>'Gas Plant LCOE'!F10</f>
        <v>198.08323246448734</v>
      </c>
    </row>
    <row r="20" spans="2:6" ht="18" customHeight="1" x14ac:dyDescent="0.25">
      <c r="B20" s="8" t="s">
        <v>263</v>
      </c>
      <c r="C20" s="9">
        <f>'Gas Plant LCOE'!C11</f>
        <v>250.72746797464913</v>
      </c>
      <c r="D20" s="9">
        <f>'Gas Plant LCOE'!D11</f>
        <v>232.50320640339609</v>
      </c>
      <c r="E20" s="9">
        <f>'Gas Plant LCOE'!E11</f>
        <v>231.42578827293266</v>
      </c>
      <c r="F20" s="9">
        <f>'Gas Plant LCOE'!F11</f>
        <v>234.39178963317633</v>
      </c>
    </row>
    <row r="21" spans="2:6" ht="18" customHeight="1" x14ac:dyDescent="0.25">
      <c r="B21" s="69" t="s">
        <v>264</v>
      </c>
      <c r="C21" s="3">
        <f>'Offshore Wind LCOE'!C19</f>
        <v>258.75825158752525</v>
      </c>
      <c r="D21" s="3">
        <f>'Offshore Wind LCOE'!D19</f>
        <v>190.72742433692062</v>
      </c>
      <c r="E21" s="3">
        <f>'Offshore Wind LCOE'!F19</f>
        <v>173.17349242857216</v>
      </c>
      <c r="F21" s="3">
        <f>'Offshore Wind LCOE'!G19</f>
        <v>167.13358956399773</v>
      </c>
    </row>
    <row r="22" spans="2:6" ht="18" customHeight="1" x14ac:dyDescent="0.25">
      <c r="B22" s="80" t="s">
        <v>265</v>
      </c>
      <c r="C22" s="9">
        <f>'Offshore Wind LCOE'!H27</f>
        <v>316.05071348682344</v>
      </c>
      <c r="D22" s="9">
        <f>'Offshore Wind LCOE'!I27</f>
        <v>231.27144654077483</v>
      </c>
      <c r="E22" s="9">
        <f>'Offshore Wind LCOE'!J27</f>
        <v>215.03318732054097</v>
      </c>
      <c r="F22" s="9">
        <f>'Offshore Wind LCOE'!K27</f>
        <v>207.01687464856352</v>
      </c>
    </row>
    <row r="23" spans="2:6" ht="18" customHeight="1" x14ac:dyDescent="0.25">
      <c r="B23" s="69" t="s">
        <v>266</v>
      </c>
      <c r="C23" s="3">
        <f>'Offshore Wind LCOE'!H28</f>
        <v>324.99986496355785</v>
      </c>
      <c r="D23" s="3">
        <f>'Offshore Wind LCOE'!I28</f>
        <v>237.38762430510371</v>
      </c>
      <c r="E23" s="3">
        <f>'Offshore Wind LCOE'!J28</f>
        <v>220.36723337828494</v>
      </c>
      <c r="F23" s="3">
        <f>'Offshore Wind LCOE'!K28</f>
        <v>212.05263833998706</v>
      </c>
    </row>
    <row r="24" spans="2:6" ht="18" customHeight="1" x14ac:dyDescent="0.25">
      <c r="B24" s="80" t="s">
        <v>267</v>
      </c>
      <c r="C24" s="9">
        <f>'Offshore Wind LCOE'!H29</f>
        <v>333.94901644029227</v>
      </c>
      <c r="D24" s="9">
        <f>'Offshore Wind LCOE'!I29</f>
        <v>243.50380206943265</v>
      </c>
      <c r="E24" s="9">
        <f>'Offshore Wind LCOE'!J29</f>
        <v>225.70127943602893</v>
      </c>
      <c r="F24" s="9">
        <f>'Offshore Wind LCOE'!K29</f>
        <v>217.08840203141057</v>
      </c>
    </row>
  </sheetData>
  <mergeCells count="3">
    <mergeCell ref="B2:T2"/>
    <mergeCell ref="B4:M4"/>
    <mergeCell ref="B15:K1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7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5" customHeight="1" x14ac:dyDescent="0.25"/>
  <cols>
    <col min="1" max="1" width="3" customWidth="1"/>
    <col min="2" max="2" width="22" customWidth="1"/>
    <col min="3" max="3" width="16" customWidth="1"/>
    <col min="4" max="21" width="12" customWidth="1"/>
  </cols>
  <sheetData>
    <row r="1" spans="2:18" ht="7.5" customHeight="1" x14ac:dyDescent="0.25"/>
    <row r="2" spans="2:18" ht="31.5" customHeight="1" x14ac:dyDescent="0.25">
      <c r="B2" s="166" t="s">
        <v>268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2:18" ht="21.75" customHeight="1" x14ac:dyDescent="0.25">
      <c r="B3" s="159" t="s">
        <v>269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5" spans="2:18" ht="19.5" customHeight="1" x14ac:dyDescent="0.25">
      <c r="B5" s="153" t="s">
        <v>270</v>
      </c>
      <c r="C5" s="153"/>
      <c r="D5" s="153"/>
      <c r="E5" s="153"/>
      <c r="F5" s="153"/>
      <c r="G5" s="153"/>
      <c r="H5" s="153"/>
      <c r="I5" s="153"/>
    </row>
    <row r="6" spans="2:18" ht="31.5" customHeight="1" x14ac:dyDescent="0.25">
      <c r="B6" s="1" t="s">
        <v>271</v>
      </c>
      <c r="C6" s="1" t="s">
        <v>272</v>
      </c>
      <c r="D6" s="1" t="s">
        <v>273</v>
      </c>
      <c r="E6" s="1" t="s">
        <v>274</v>
      </c>
      <c r="F6" s="1" t="s">
        <v>275</v>
      </c>
      <c r="G6" s="1" t="s">
        <v>276</v>
      </c>
      <c r="H6" s="1" t="s">
        <v>277</v>
      </c>
    </row>
    <row r="7" spans="2:18" ht="21.75" customHeight="1" x14ac:dyDescent="0.25">
      <c r="B7" s="81" t="s">
        <v>278</v>
      </c>
      <c r="C7" s="82">
        <v>0.9</v>
      </c>
      <c r="D7" s="82">
        <v>0.75</v>
      </c>
      <c r="E7" s="83" t="s">
        <v>279</v>
      </c>
      <c r="F7" s="83" t="s">
        <v>280</v>
      </c>
      <c r="G7" s="84" t="s">
        <v>281</v>
      </c>
      <c r="H7" s="84" t="s">
        <v>282</v>
      </c>
    </row>
    <row r="8" spans="2:18" ht="21.75" customHeight="1" x14ac:dyDescent="0.25">
      <c r="B8" s="85" t="s">
        <v>283</v>
      </c>
      <c r="C8" s="86">
        <v>1</v>
      </c>
      <c r="D8" s="86">
        <v>0.9</v>
      </c>
      <c r="E8" s="87" t="s">
        <v>284</v>
      </c>
      <c r="F8" s="87" t="s">
        <v>279</v>
      </c>
      <c r="G8" s="88" t="s">
        <v>281</v>
      </c>
      <c r="H8" s="88" t="s">
        <v>285</v>
      </c>
    </row>
    <row r="9" spans="2:18" ht="21.75" customHeight="1" x14ac:dyDescent="0.25">
      <c r="B9" s="89" t="s">
        <v>286</v>
      </c>
      <c r="C9" s="90">
        <v>1</v>
      </c>
      <c r="D9" s="90">
        <v>1</v>
      </c>
      <c r="E9" s="91" t="s">
        <v>284</v>
      </c>
      <c r="F9" s="91" t="s">
        <v>284</v>
      </c>
      <c r="G9" s="92" t="s">
        <v>287</v>
      </c>
      <c r="H9" s="92" t="s">
        <v>288</v>
      </c>
    </row>
    <row r="11" spans="2:18" ht="19.5" customHeight="1" x14ac:dyDescent="0.25">
      <c r="B11" s="153" t="s">
        <v>289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</row>
    <row r="12" spans="2:18" ht="19.5" customHeight="1" x14ac:dyDescent="0.25">
      <c r="D12" s="167" t="s">
        <v>290</v>
      </c>
      <c r="E12" s="167"/>
      <c r="F12" s="167"/>
      <c r="G12" s="167"/>
      <c r="H12" s="177" t="s">
        <v>291</v>
      </c>
      <c r="I12" s="177"/>
      <c r="J12" s="177"/>
    </row>
    <row r="13" spans="2:18" ht="30" customHeight="1" x14ac:dyDescent="0.25">
      <c r="B13" s="1" t="s">
        <v>292</v>
      </c>
      <c r="C13" s="1" t="s">
        <v>293</v>
      </c>
      <c r="D13" s="1" t="s">
        <v>167</v>
      </c>
      <c r="E13" s="1" t="s">
        <v>168</v>
      </c>
      <c r="F13" s="1" t="s">
        <v>169</v>
      </c>
      <c r="G13" s="1" t="s">
        <v>170</v>
      </c>
      <c r="H13" s="1" t="s">
        <v>294</v>
      </c>
      <c r="I13" s="1" t="s">
        <v>295</v>
      </c>
      <c r="J13" s="1" t="s">
        <v>296</v>
      </c>
    </row>
    <row r="14" spans="2:18" ht="18" customHeight="1" x14ac:dyDescent="0.25">
      <c r="B14" s="174" t="s">
        <v>297</v>
      </c>
      <c r="C14" s="174"/>
      <c r="D14" s="174"/>
      <c r="E14" s="174"/>
      <c r="F14" s="174"/>
      <c r="G14" s="174"/>
      <c r="H14" s="174"/>
      <c r="I14" s="174"/>
      <c r="J14" s="174"/>
    </row>
    <row r="15" spans="2:18" ht="18" customHeight="1" x14ac:dyDescent="0.25">
      <c r="B15" s="93" t="s">
        <v>298</v>
      </c>
      <c r="C15" s="94">
        <v>4800</v>
      </c>
      <c r="D15" s="48">
        <f>((Assumptions!D52*1000*1000/1000000)+((Assumptions!D61*4800*1000/1000000)*(1-Assumptions!D64))+(((Assumptions!D61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316.05071348682344</v>
      </c>
      <c r="E15" s="48">
        <f>((Assumptions!D52*1000*1000/1000000)+((Assumptions!D61*4800*1000/1000000)*(1-Assumptions!D64))+(((Assumptions!D61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231.27144654077483</v>
      </c>
      <c r="F15" s="48">
        <f>((Assumptions!D52*1000*1000/1000000)+((Assumptions!D61*4800*1000/1000000)*(1-Assumptions!D64))+(((Assumptions!D61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215.03318732054097</v>
      </c>
      <c r="G15" s="48">
        <f>((Assumptions!D52*1000*1000/1000000)+((Assumptions!D61*4800*1000/1000000)*(1-Assumptions!D64))+(((Assumptions!D61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207.01687464856352</v>
      </c>
      <c r="H15" s="95">
        <f>Assumptions!D61*4800*1000/1000000</f>
        <v>1440</v>
      </c>
      <c r="I15" s="95">
        <f>H15*Assumptions!D64</f>
        <v>432</v>
      </c>
      <c r="J15" s="95">
        <f>H15-I15</f>
        <v>1008</v>
      </c>
    </row>
    <row r="16" spans="2:18" ht="18" customHeight="1" x14ac:dyDescent="0.25">
      <c r="B16" s="96" t="s">
        <v>299</v>
      </c>
      <c r="C16" s="97">
        <v>4800</v>
      </c>
      <c r="D16" s="98">
        <f>((Assumptions!D52*1000*1000/1000000)+((Assumptions!D62*4800*1000/1000000)*(1-Assumptions!D64))+(((Assumptions!D62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324.99986496355785</v>
      </c>
      <c r="E16" s="98">
        <f>((Assumptions!D52*1000*1000/1000000)+((Assumptions!D62*4800*1000/1000000)*(1-Assumptions!D64))+(((Assumptions!D62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237.38762430510371</v>
      </c>
      <c r="F16" s="98">
        <f>((Assumptions!D52*1000*1000/1000000)+((Assumptions!D62*4800*1000/1000000)*(1-Assumptions!D64))+(((Assumptions!D62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220.36723337828494</v>
      </c>
      <c r="G16" s="98">
        <f>((Assumptions!D52*1000*1000/1000000)+((Assumptions!D62*4800*1000/1000000)*(1-Assumptions!D64))+(((Assumptions!D62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212.05263833998706</v>
      </c>
      <c r="H16" s="99">
        <f>Assumptions!D62*4800*1000/1000000</f>
        <v>1680</v>
      </c>
      <c r="I16" s="99">
        <f>H16*Assumptions!D64</f>
        <v>504</v>
      </c>
      <c r="J16" s="99">
        <f>H16-I16</f>
        <v>1176</v>
      </c>
    </row>
    <row r="17" spans="2:17" ht="18" customHeight="1" x14ac:dyDescent="0.25">
      <c r="B17" s="100" t="s">
        <v>300</v>
      </c>
      <c r="C17" s="101">
        <v>4800</v>
      </c>
      <c r="D17" s="102">
        <f>((Assumptions!D52*1000*1000/1000000)+((Assumptions!D63*4800*1000/1000000)*(1-Assumptions!D64))+(((Assumptions!D63*4800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333.94901644029227</v>
      </c>
      <c r="E17" s="102">
        <f>((Assumptions!D52*1000*1000/1000000)+((Assumptions!D63*4800*1000/1000000)*(1-Assumptions!D64))+(((Assumptions!D63*4800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243.50380206943265</v>
      </c>
      <c r="F17" s="102">
        <f>((Assumptions!D52*1000*1000/1000000)+((Assumptions!D63*4800*1000/1000000)*(1-Assumptions!D64))+(((Assumptions!D63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225.70127943602893</v>
      </c>
      <c r="G17" s="102">
        <f>((Assumptions!D52*1000*1000/1000000)+((Assumptions!D63*4800*1000/1000000)*(1-Assumptions!D64))+(((Assumptions!D63*4800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217.08840203141057</v>
      </c>
      <c r="H17" s="103">
        <f>Assumptions!D63*4800*1000/1000000</f>
        <v>1920</v>
      </c>
      <c r="I17" s="103">
        <f>H17*Assumptions!D64</f>
        <v>576</v>
      </c>
      <c r="J17" s="103">
        <f>H17-I17</f>
        <v>1344</v>
      </c>
    </row>
    <row r="19" spans="2:17" ht="18" customHeight="1" x14ac:dyDescent="0.25">
      <c r="B19" s="175" t="s">
        <v>301</v>
      </c>
      <c r="C19" s="175"/>
      <c r="D19" s="175"/>
      <c r="E19" s="175"/>
      <c r="F19" s="175"/>
      <c r="G19" s="175"/>
      <c r="H19" s="175"/>
      <c r="I19" s="175"/>
      <c r="J19" s="175"/>
    </row>
    <row r="20" spans="2:17" ht="18" customHeight="1" x14ac:dyDescent="0.25">
      <c r="B20" s="104" t="s">
        <v>302</v>
      </c>
      <c r="C20" s="105">
        <v>7200</v>
      </c>
      <c r="D20" s="106">
        <f>((Assumptions!D52*1000*1000/1000000)+((Assumptions!D61*7200*1000/1000000)*(1-Assumptions!D64))+(((Assumptions!D61*7200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342.89816791702668</v>
      </c>
      <c r="E20" s="106">
        <f>((Assumptions!D52*1000*1000/1000000)+((Assumptions!D61*7200*1000/1000000)*(1-Assumptions!D64))+(((Assumptions!D61*7200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249.61997983376153</v>
      </c>
      <c r="F20" s="106">
        <f>((Assumptions!D52*1000*1000/1000000)+((Assumptions!D61*7200*1000/1000000)*(1-Assumptions!D64))+(((Assumptions!D61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231.03532549377289</v>
      </c>
      <c r="G20" s="106">
        <f>((Assumptions!D52*1000*1000/1000000)+((Assumptions!D61*7200*1000/1000000)*(1-Assumptions!D64))+(((Assumptions!D61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222.12416572283416</v>
      </c>
      <c r="H20" s="107">
        <f>Assumptions!D61*7200*1000/1000000</f>
        <v>2160</v>
      </c>
      <c r="I20" s="107">
        <f>H20*Assumptions!D64</f>
        <v>648</v>
      </c>
      <c r="J20" s="107">
        <f>H20-I20</f>
        <v>1512</v>
      </c>
    </row>
    <row r="21" spans="2:17" ht="18" customHeight="1" x14ac:dyDescent="0.25">
      <c r="B21" s="108" t="s">
        <v>303</v>
      </c>
      <c r="C21" s="109">
        <v>7200</v>
      </c>
      <c r="D21" s="110">
        <f>((Assumptions!D52*1000*1000/1000000)+((Assumptions!D62*7200*1000/1000000)*(1-Assumptions!D64))+(((Assumptions!D62*7200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356.3218951321283</v>
      </c>
      <c r="E21" s="110">
        <f>((Assumptions!D52*1000*1000/1000000)+((Assumptions!D62*7200*1000/1000000)*(1-Assumptions!D64))+(((Assumptions!D62*7200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258.79424648025486</v>
      </c>
      <c r="F21" s="110">
        <f>((Assumptions!D52*1000*1000/1000000)+((Assumptions!D62*7200*1000/1000000)*(1-Assumptions!D64))+(((Assumptions!D62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239.03639458038882</v>
      </c>
      <c r="G21" s="110">
        <f>((Assumptions!D52*1000*1000/1000000)+((Assumptions!D62*7200*1000/1000000)*(1-Assumptions!D64))+(((Assumptions!D62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229.67781125996947</v>
      </c>
      <c r="H21" s="111">
        <f>Assumptions!D62*7200*1000/1000000</f>
        <v>2520</v>
      </c>
      <c r="I21" s="111">
        <f>H21*Assumptions!D64</f>
        <v>756</v>
      </c>
      <c r="J21" s="111">
        <f>H21-I21</f>
        <v>1764</v>
      </c>
    </row>
    <row r="22" spans="2:17" ht="18" customHeight="1" x14ac:dyDescent="0.25">
      <c r="B22" s="112" t="s">
        <v>304</v>
      </c>
      <c r="C22" s="113">
        <v>7200</v>
      </c>
      <c r="D22" s="114">
        <f>((Assumptions!D52*1000*1000/1000000)+((Assumptions!D63*7200*1000/1000000)*(1-Assumptions!D64))+(((Assumptions!D63*7200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369.74562234722987</v>
      </c>
      <c r="E22" s="114">
        <f>((Assumptions!D52*1000*1000/1000000)+((Assumptions!D63*7200*1000/1000000)*(1-Assumptions!D64))+(((Assumptions!D63*7200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267.96851312674829</v>
      </c>
      <c r="F22" s="114">
        <f>((Assumptions!D52*1000*1000/1000000)+((Assumptions!D63*7200*1000/1000000)*(1-Assumptions!D64))+(((Assumptions!D63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247.0374636670048</v>
      </c>
      <c r="G22" s="114">
        <f>((Assumptions!D52*1000*1000/1000000)+((Assumptions!D63*7200*1000/1000000)*(1-Assumptions!D64))+(((Assumptions!D63*7200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237.23145679710481</v>
      </c>
      <c r="H22" s="115">
        <f>Assumptions!D63*7200*1000/1000000</f>
        <v>2880</v>
      </c>
      <c r="I22" s="115">
        <f>H22*Assumptions!D64</f>
        <v>864</v>
      </c>
      <c r="J22" s="115">
        <f>H22-I22</f>
        <v>2016</v>
      </c>
    </row>
    <row r="24" spans="2:17" ht="18" customHeight="1" x14ac:dyDescent="0.25">
      <c r="B24" s="176" t="s">
        <v>305</v>
      </c>
      <c r="C24" s="176"/>
      <c r="D24" s="176"/>
      <c r="E24" s="176"/>
      <c r="F24" s="176"/>
      <c r="G24" s="176"/>
      <c r="H24" s="176"/>
      <c r="I24" s="176"/>
      <c r="J24" s="176"/>
    </row>
    <row r="25" spans="2:17" ht="18" customHeight="1" x14ac:dyDescent="0.25">
      <c r="B25" s="116" t="s">
        <v>306</v>
      </c>
      <c r="C25" s="117">
        <v>9600</v>
      </c>
      <c r="D25" s="118">
        <f>((Assumptions!D52*1000*1000/1000000)+((Assumptions!D61*9600*1000/1000000)*(1-Assumptions!D64))+(((Assumptions!D61*9600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369.74562234722987</v>
      </c>
      <c r="E25" s="118">
        <f>((Assumptions!D52*1000*1000/1000000)+((Assumptions!D61*9600*1000/1000000)*(1-Assumptions!D64))+(((Assumptions!D61*9600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267.96851312674829</v>
      </c>
      <c r="F25" s="118">
        <f>((Assumptions!D52*1000*1000/1000000)+((Assumptions!D61*9600*1000/1000000)*(1-Assumptions!D64))+(((Assumptions!D61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247.0374636670048</v>
      </c>
      <c r="G25" s="118">
        <f>((Assumptions!D52*1000*1000/1000000)+((Assumptions!D61*9600*1000/1000000)*(1-Assumptions!D64))+(((Assumptions!D61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237.23145679710481</v>
      </c>
      <c r="H25" s="119">
        <f>Assumptions!D61*9600*1000/1000000</f>
        <v>2880</v>
      </c>
      <c r="I25" s="119">
        <f>H25*Assumptions!D64</f>
        <v>864</v>
      </c>
      <c r="J25" s="119">
        <f>H25-I25</f>
        <v>2016</v>
      </c>
    </row>
    <row r="26" spans="2:17" ht="18" customHeight="1" x14ac:dyDescent="0.25">
      <c r="B26" s="120" t="s">
        <v>307</v>
      </c>
      <c r="C26" s="121">
        <v>9600</v>
      </c>
      <c r="D26" s="122">
        <f>((Assumptions!D52*1000*1000/1000000)+((Assumptions!D62*9600*1000/1000000)*(1-Assumptions!D64))+(((Assumptions!D62*9600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387.6439253006987</v>
      </c>
      <c r="E26" s="122">
        <f>((Assumptions!D52*1000*1000/1000000)+((Assumptions!D62*9600*1000/1000000)*(1-Assumptions!D64))+(((Assumptions!D62*9600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280.20086865540611</v>
      </c>
      <c r="F26" s="122">
        <f>((Assumptions!D52*1000*1000/1000000)+((Assumptions!D62*9600*1000/1000000)*(1-Assumptions!D64))+(((Assumptions!D62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257.70555578249275</v>
      </c>
      <c r="G26" s="122">
        <f>((Assumptions!D52*1000*1000/1000000)+((Assumptions!D62*9600*1000/1000000)*(1-Assumptions!D64))+(((Assumptions!D62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247.30298417995189</v>
      </c>
      <c r="H26" s="123">
        <f>Assumptions!D62*9600*1000/1000000</f>
        <v>3360</v>
      </c>
      <c r="I26" s="123">
        <f>H26*Assumptions!D64</f>
        <v>1008</v>
      </c>
      <c r="J26" s="123">
        <f>H26-I26</f>
        <v>2352</v>
      </c>
    </row>
    <row r="27" spans="2:17" ht="18" customHeight="1" x14ac:dyDescent="0.25">
      <c r="B27" s="124" t="s">
        <v>308</v>
      </c>
      <c r="C27" s="125">
        <v>9600</v>
      </c>
      <c r="D27" s="126">
        <f>((Assumptions!D52*1000*1000/1000000)+((Assumptions!D63*9600*1000/1000000)*(1-Assumptions!D64))+(((Assumptions!D63*9600*1000/1000000)*(1-Assumptions!D64))*Assumptions!D65/(1+Assumptions!D47)^6)+(((Assumptions!D53*1000*1000/1000000)+(Assumptions!D66*1200*1000/1000000))*(((1+Assumptions!D59)/(Assumptions!D47-Assumptions!D59))*(1-((1+Assumptions!D59)/(1+Assumptions!D47))^10))))*1000000/((1000*Assumptions!D54*8760)*((1-(1+Assumptions!D47)^(-10))/Assumptions!D47))</f>
        <v>405.54222825416741</v>
      </c>
      <c r="E27" s="126">
        <f>((Assumptions!D52*1000*1000/1000000)+((Assumptions!D63*9600*1000/1000000)*(1-Assumptions!D64))+(((Assumptions!D63*9600*1000/1000000)*(1-Assumptions!D64))*Assumptions!D65/(1+Assumptions!D47)^6)+(((Assumptions!D53*1000*1000/1000000)+(Assumptions!D66*1200*1000/1000000))*(((1+Assumptions!D59)/(Assumptions!D47-Assumptions!D59))*(1-((1+Assumptions!D59)/(1+Assumptions!D47))^20))))*1000000/((1000*Assumptions!D54*8760)*((1-(1+Assumptions!D47)^(-20))/Assumptions!D47))</f>
        <v>292.43322418406387</v>
      </c>
      <c r="F27" s="126">
        <f>((Assumptions!D52*1000*1000/1000000)+((Assumptions!D63*9600*1000/1000000)*(1-Assumptions!D64))+(((Assumptions!D63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30))))*1000000/((1000*Assumptions!D54*8760)*((1-(1+Assumptions!D47)^(-30))/Assumptions!D47))</f>
        <v>268.37364789798067</v>
      </c>
      <c r="G27" s="126">
        <f>((Assumptions!D52*1000*1000/1000000)+((Assumptions!D63*9600*1000/1000000)*(1-Assumptions!D64))+(((Assumptions!D63*9600*1000/1000000)*(1-Assumptions!D64))*Assumptions!D65/(1+Assumptions!D47)^6)+((Assumptions!D52*1000*1000/1000000)*0.3)/(1+Assumptions!D47)^25+(((Assumptions!D53*1000*1000/1000000)+(Assumptions!D66*1200*1000/1000000))*(((1+Assumptions!D59)/(Assumptions!D47-Assumptions!D59))*(1-((1+Assumptions!D59)/(1+Assumptions!D47))^40))))*1000000/((1000*Assumptions!D54*8760)*((1-(1+Assumptions!D47)^(-40))/Assumptions!D47))</f>
        <v>257.374511562799</v>
      </c>
      <c r="H27" s="127">
        <f>Assumptions!D63*9600*1000/1000000</f>
        <v>3840</v>
      </c>
      <c r="I27" s="127">
        <f>H27*Assumptions!D64</f>
        <v>1152</v>
      </c>
      <c r="J27" s="127">
        <f>H27-I27</f>
        <v>2688</v>
      </c>
    </row>
    <row r="31" spans="2:17" ht="19.5" customHeight="1" x14ac:dyDescent="0.25">
      <c r="B31" s="153" t="s">
        <v>309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</row>
    <row r="32" spans="2:17" ht="19.5" customHeight="1" x14ac:dyDescent="0.25">
      <c r="D32" s="167" t="s">
        <v>290</v>
      </c>
      <c r="E32" s="167"/>
      <c r="F32" s="167"/>
      <c r="G32" s="167"/>
      <c r="H32" s="177" t="s">
        <v>291</v>
      </c>
      <c r="I32" s="177"/>
      <c r="J32" s="177"/>
    </row>
    <row r="33" spans="2:10" ht="30" customHeight="1" x14ac:dyDescent="0.25">
      <c r="B33" s="1" t="s">
        <v>292</v>
      </c>
      <c r="C33" s="1" t="s">
        <v>293</v>
      </c>
      <c r="D33" s="1" t="s">
        <v>167</v>
      </c>
      <c r="E33" s="1" t="s">
        <v>168</v>
      </c>
      <c r="F33" s="1" t="s">
        <v>169</v>
      </c>
      <c r="G33" s="1" t="s">
        <v>170</v>
      </c>
      <c r="H33" s="1" t="s">
        <v>294</v>
      </c>
      <c r="I33" s="1" t="s">
        <v>295</v>
      </c>
      <c r="J33" s="1" t="s">
        <v>296</v>
      </c>
    </row>
    <row r="34" spans="2:10" ht="18" customHeight="1" x14ac:dyDescent="0.25">
      <c r="B34" s="174" t="s">
        <v>310</v>
      </c>
      <c r="C34" s="174"/>
      <c r="D34" s="174"/>
      <c r="E34" s="174"/>
      <c r="F34" s="174"/>
      <c r="G34" s="174"/>
      <c r="H34" s="174"/>
      <c r="I34" s="174"/>
      <c r="J34" s="174"/>
    </row>
    <row r="35" spans="2:10" ht="18" customHeight="1" x14ac:dyDescent="0.25">
      <c r="B35" s="93" t="s">
        <v>298</v>
      </c>
      <c r="C35" s="94">
        <v>1520</v>
      </c>
      <c r="D35" s="48">
        <f>((Assumptions!D52*316.666667*1000/1000000)+((Assumptions!D61*1520*1000/1000000)*(1-Assumptions!D64))+(((Assumptions!D61*1520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316.05071342651564</v>
      </c>
      <c r="E35" s="48">
        <f>((Assumptions!D52*316.666667*1000/1000000)+((Assumptions!D61*1520*1000/1000000)*(1-Assumptions!D64))+(((Assumptions!D61*1520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231.27144649809696</v>
      </c>
      <c r="F35" s="48">
        <f>((Assumptions!D52*316.666667*1000/1000000)+((Assumptions!D61*1520*1000/1000000)*(1-Assumptions!D64))+(((Assumptions!D61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215.03318728260112</v>
      </c>
      <c r="G35" s="48">
        <f>((Assumptions!D52*316.666667*1000/1000000)+((Assumptions!D61*1520*1000/1000000)*(1-Assumptions!D64))+(((Assumptions!D61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207.01687461236165</v>
      </c>
      <c r="H35" s="95">
        <f>Assumptions!D61*1520*1000/1000000</f>
        <v>456</v>
      </c>
      <c r="I35" s="95">
        <f>H35*Assumptions!D64</f>
        <v>136.79999999999998</v>
      </c>
      <c r="J35" s="95">
        <f>H35-I35</f>
        <v>319.20000000000005</v>
      </c>
    </row>
    <row r="36" spans="2:10" ht="18" customHeight="1" x14ac:dyDescent="0.25">
      <c r="B36" s="96" t="s">
        <v>299</v>
      </c>
      <c r="C36" s="97">
        <v>1520</v>
      </c>
      <c r="D36" s="98">
        <f>((Assumptions!D52*316.666667*1000/1000000)+((Assumptions!D62*1520*1000/1000000)*(1-Assumptions!D64))+(((Assumptions!D62*1520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324.99986489382991</v>
      </c>
      <c r="E36" s="98">
        <f>((Assumptions!D52*316.666667*1000/1000000)+((Assumptions!D62*1520*1000/1000000)*(1-Assumptions!D64))+(((Assumptions!D62*1520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237.38762425598776</v>
      </c>
      <c r="F36" s="98">
        <f>((Assumptions!D52*316.666667*1000/1000000)+((Assumptions!D62*1520*1000/1000000)*(1-Assumptions!D64))+(((Assumptions!D62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220.36723333473029</v>
      </c>
      <c r="G36" s="98">
        <f>((Assumptions!D52*316.666667*1000/1000000)+((Assumptions!D62*1520*1000/1000000)*(1-Assumptions!D64))+(((Assumptions!D62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212.0526382984844</v>
      </c>
      <c r="H36" s="99">
        <f>Assumptions!D62*1520*1000/1000000</f>
        <v>532</v>
      </c>
      <c r="I36" s="99">
        <f>H36*Assumptions!D64</f>
        <v>159.6</v>
      </c>
      <c r="J36" s="99">
        <f>H36-I36</f>
        <v>372.4</v>
      </c>
    </row>
    <row r="37" spans="2:10" ht="18" customHeight="1" x14ac:dyDescent="0.25">
      <c r="B37" s="100" t="s">
        <v>300</v>
      </c>
      <c r="C37" s="101">
        <v>1520</v>
      </c>
      <c r="D37" s="102">
        <f>((Assumptions!D52*316.666667*1000/1000000)+((Assumptions!D63*1520*1000/1000000)*(1-Assumptions!D64))+(((Assumptions!D63*1520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333.94901636114412</v>
      </c>
      <c r="E37" s="102">
        <f>((Assumptions!D52*316.666667*1000/1000000)+((Assumptions!D63*1520*1000/1000000)*(1-Assumptions!D64))+(((Assumptions!D63*1520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243.50380201387861</v>
      </c>
      <c r="F37" s="102">
        <f>((Assumptions!D52*316.666667*1000/1000000)+((Assumptions!D63*1520*1000/1000000)*(1-Assumptions!D64))+(((Assumptions!D63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225.70127938685948</v>
      </c>
      <c r="G37" s="102">
        <f>((Assumptions!D52*316.666667*1000/1000000)+((Assumptions!D63*1520*1000/1000000)*(1-Assumptions!D64))+(((Assumptions!D63*1520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217.08840198460715</v>
      </c>
      <c r="H37" s="103">
        <f>Assumptions!D63*1520*1000/1000000</f>
        <v>608</v>
      </c>
      <c r="I37" s="103">
        <f>H37*Assumptions!D64</f>
        <v>182.4</v>
      </c>
      <c r="J37" s="103">
        <f>H37-I37</f>
        <v>425.6</v>
      </c>
    </row>
    <row r="39" spans="2:10" ht="18" customHeight="1" x14ac:dyDescent="0.25">
      <c r="B39" s="175" t="s">
        <v>311</v>
      </c>
      <c r="C39" s="175"/>
      <c r="D39" s="175"/>
      <c r="E39" s="175"/>
      <c r="F39" s="175"/>
      <c r="G39" s="175"/>
      <c r="H39" s="175"/>
      <c r="I39" s="175"/>
      <c r="J39" s="175"/>
    </row>
    <row r="40" spans="2:10" ht="18" customHeight="1" x14ac:dyDescent="0.25">
      <c r="B40" s="104" t="s">
        <v>302</v>
      </c>
      <c r="C40" s="105">
        <v>2280</v>
      </c>
      <c r="D40" s="106">
        <f>((Assumptions!D52*316.666667*1000/1000000)+((Assumptions!D61*2280*1000/1000000)*(1-Assumptions!D64))+(((Assumptions!D61*2280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342.89816782845838</v>
      </c>
      <c r="E40" s="106">
        <f>((Assumptions!D52*316.666667*1000/1000000)+((Assumptions!D61*2280*1000/1000000)*(1-Assumptions!D64))+(((Assumptions!D61*2280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249.61997977176941</v>
      </c>
      <c r="F40" s="106">
        <f>((Assumptions!D52*316.666667*1000/1000000)+((Assumptions!D61*2280*1000/1000000)*(1-Assumptions!D64))+(((Assumptions!D61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231.03532543898865</v>
      </c>
      <c r="G40" s="106">
        <f>((Assumptions!D52*316.666667*1000/1000000)+((Assumptions!D61*2280*1000/1000000)*(1-Assumptions!D64))+(((Assumptions!D61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222.12416567072989</v>
      </c>
      <c r="H40" s="107">
        <f>Assumptions!D61*2280*1000/1000000</f>
        <v>684</v>
      </c>
      <c r="I40" s="107">
        <f>H40*Assumptions!D64</f>
        <v>205.2</v>
      </c>
      <c r="J40" s="107">
        <f>H40-I40</f>
        <v>478.8</v>
      </c>
    </row>
    <row r="41" spans="2:10" ht="18" customHeight="1" x14ac:dyDescent="0.25">
      <c r="B41" s="108" t="s">
        <v>303</v>
      </c>
      <c r="C41" s="109">
        <v>2280</v>
      </c>
      <c r="D41" s="110">
        <f>((Assumptions!D52*316.666667*1000/1000000)+((Assumptions!D62*2280*1000/1000000)*(1-Assumptions!D64))+(((Assumptions!D62*2280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356.32189502942975</v>
      </c>
      <c r="E41" s="110">
        <f>((Assumptions!D52*316.666667*1000/1000000)+((Assumptions!D62*2280*1000/1000000)*(1-Assumptions!D64))+(((Assumptions!D62*2280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258.7942464086056</v>
      </c>
      <c r="F41" s="110">
        <f>((Assumptions!D52*316.666667*1000/1000000)+((Assumptions!D62*2280*1000/1000000)*(1-Assumptions!D64))+(((Assumptions!D62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239.0363945171824</v>
      </c>
      <c r="G41" s="110">
        <f>((Assumptions!D52*316.666667*1000/1000000)+((Assumptions!D62*2280*1000/1000000)*(1-Assumptions!D64))+(((Assumptions!D62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229.67781119991403</v>
      </c>
      <c r="H41" s="111">
        <f>Assumptions!D62*2280*1000/1000000</f>
        <v>798</v>
      </c>
      <c r="I41" s="111">
        <f>H41*Assumptions!D64</f>
        <v>239.39999999999998</v>
      </c>
      <c r="J41" s="111">
        <f>H41-I41</f>
        <v>558.6</v>
      </c>
    </row>
    <row r="42" spans="2:10" ht="18" customHeight="1" x14ac:dyDescent="0.25">
      <c r="B42" s="112" t="s">
        <v>304</v>
      </c>
      <c r="C42" s="113">
        <v>2280</v>
      </c>
      <c r="D42" s="114">
        <f>((Assumptions!D52*316.666667*1000/1000000)+((Assumptions!D63*2280*1000/1000000)*(1-Assumptions!D64))+(((Assumptions!D63*2280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369.74562223040112</v>
      </c>
      <c r="E42" s="114">
        <f>((Assumptions!D52*316.666667*1000/1000000)+((Assumptions!D63*2280*1000/1000000)*(1-Assumptions!D64))+(((Assumptions!D63*2280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267.96851304544185</v>
      </c>
      <c r="F42" s="114">
        <f>((Assumptions!D52*316.666667*1000/1000000)+((Assumptions!D63*2280*1000/1000000)*(1-Assumptions!D64))+(((Assumptions!D63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247.03746359537615</v>
      </c>
      <c r="G42" s="114">
        <f>((Assumptions!D52*316.666667*1000/1000000)+((Assumptions!D63*2280*1000/1000000)*(1-Assumptions!D64))+(((Assumptions!D63*2280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237.23145672909811</v>
      </c>
      <c r="H42" s="115">
        <f>Assumptions!D63*2280*1000/1000000</f>
        <v>912</v>
      </c>
      <c r="I42" s="115">
        <f>H42*Assumptions!D64</f>
        <v>273.59999999999997</v>
      </c>
      <c r="J42" s="115">
        <f>H42-I42</f>
        <v>638.40000000000009</v>
      </c>
    </row>
    <row r="44" spans="2:10" ht="18" customHeight="1" x14ac:dyDescent="0.25">
      <c r="B44" s="176" t="s">
        <v>312</v>
      </c>
      <c r="C44" s="176"/>
      <c r="D44" s="176"/>
      <c r="E44" s="176"/>
      <c r="F44" s="176"/>
      <c r="G44" s="176"/>
      <c r="H44" s="176"/>
      <c r="I44" s="176"/>
      <c r="J44" s="176"/>
    </row>
    <row r="45" spans="2:10" ht="18" customHeight="1" x14ac:dyDescent="0.25">
      <c r="B45" s="116" t="s">
        <v>306</v>
      </c>
      <c r="C45" s="117">
        <v>3040</v>
      </c>
      <c r="D45" s="118">
        <f>((Assumptions!D52*316.666667*1000/1000000)+((Assumptions!D61*3040*1000/1000000)*(1-Assumptions!D64))+(((Assumptions!D61*3040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369.74562223040112</v>
      </c>
      <c r="E45" s="118">
        <f>((Assumptions!D52*316.666667*1000/1000000)+((Assumptions!D61*3040*1000/1000000)*(1-Assumptions!D64))+(((Assumptions!D61*3040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267.96851304544185</v>
      </c>
      <c r="F45" s="118">
        <f>((Assumptions!D52*316.666667*1000/1000000)+((Assumptions!D61*3040*1000/1000000)*(1-Assumptions!D64))+(((Assumptions!D61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247.03746359537615</v>
      </c>
      <c r="G45" s="118">
        <f>((Assumptions!D52*316.666667*1000/1000000)+((Assumptions!D61*3040*1000/1000000)*(1-Assumptions!D64))+(((Assumptions!D61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237.23145672909811</v>
      </c>
      <c r="H45" s="119">
        <f>Assumptions!D61*3040*1000/1000000</f>
        <v>912</v>
      </c>
      <c r="I45" s="119">
        <f>H45*Assumptions!D64</f>
        <v>273.59999999999997</v>
      </c>
      <c r="J45" s="119">
        <f>H45-I45</f>
        <v>638.40000000000009</v>
      </c>
    </row>
    <row r="46" spans="2:10" ht="18" customHeight="1" x14ac:dyDescent="0.25">
      <c r="B46" s="120" t="s">
        <v>307</v>
      </c>
      <c r="C46" s="121">
        <v>3040</v>
      </c>
      <c r="D46" s="122">
        <f>((Assumptions!D52*316.666667*1000/1000000)+((Assumptions!D62*3040*1000/1000000)*(1-Assumptions!D64))+(((Assumptions!D62*3040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387.6439251650296</v>
      </c>
      <c r="E46" s="122">
        <f>((Assumptions!D52*316.666667*1000/1000000)+((Assumptions!D62*3040*1000/1000000)*(1-Assumptions!D64))+(((Assumptions!D62*3040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280.2008685612235</v>
      </c>
      <c r="F46" s="122">
        <f>((Assumptions!D52*316.666667*1000/1000000)+((Assumptions!D62*3040*1000/1000000)*(1-Assumptions!D64))+(((Assumptions!D62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257.70555569963454</v>
      </c>
      <c r="G46" s="122">
        <f>((Assumptions!D52*316.666667*1000/1000000)+((Assumptions!D62*3040*1000/1000000)*(1-Assumptions!D64))+(((Assumptions!D62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247.30298410134358</v>
      </c>
      <c r="H46" s="123">
        <f>Assumptions!D62*3040*1000/1000000</f>
        <v>1064</v>
      </c>
      <c r="I46" s="123">
        <f>H46*Assumptions!D64</f>
        <v>319.2</v>
      </c>
      <c r="J46" s="123">
        <f>H46-I46</f>
        <v>744.8</v>
      </c>
    </row>
    <row r="47" spans="2:10" ht="18" customHeight="1" x14ac:dyDescent="0.25">
      <c r="B47" s="124" t="s">
        <v>308</v>
      </c>
      <c r="C47" s="125">
        <v>3040</v>
      </c>
      <c r="D47" s="126">
        <f>((Assumptions!D52*316.666667*1000/1000000)+((Assumptions!D63*3040*1000/1000000)*(1-Assumptions!D64))+(((Assumptions!D63*3040*1000/1000000)*(1-Assumptions!D64))*Assumptions!D65/(1+Assumptions!D47)^6)+(((Assumptions!D53*316.666667*1000/1000000)+(Assumptions!D66*380*1000/1000000))*(((1+Assumptions!D59)/(Assumptions!D47-Assumptions!D59))*(1-((1+Assumptions!D59)/(1+Assumptions!D47))^10))))*1000000/((316.666667*Assumptions!D54*8760)*((1-(1+Assumptions!D47)^(-10))/Assumptions!D47))</f>
        <v>405.54222809965802</v>
      </c>
      <c r="E47" s="126">
        <f>((Assumptions!D52*316.666667*1000/1000000)+((Assumptions!D63*3040*1000/1000000)*(1-Assumptions!D64))+(((Assumptions!D63*3040*1000/1000000)*(1-Assumptions!D64))*Assumptions!D65/(1+Assumptions!D47)^6)+(((Assumptions!D53*316.666667*1000/1000000)+(Assumptions!D66*380*1000/1000000))*(((1+Assumptions!D59)/(Assumptions!D47-Assumptions!D59))*(1-((1+Assumptions!D59)/(1+Assumptions!D47))^20))))*1000000/((316.666667*Assumptions!D54*8760)*((1-(1+Assumptions!D47)^(-20))/Assumptions!D47))</f>
        <v>292.43322407700515</v>
      </c>
      <c r="F47" s="126">
        <f>((Assumptions!D52*316.666667*1000/1000000)+((Assumptions!D63*3040*1000/1000000)*(1-Assumptions!D64))+(((Assumptions!D63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30))))*1000000/((316.666667*Assumptions!D54*8760)*((1-(1+Assumptions!D47)^(-30))/Assumptions!D47))</f>
        <v>268.37364780389288</v>
      </c>
      <c r="G47" s="126">
        <f>((Assumptions!D52*316.666667*1000/1000000)+((Assumptions!D63*3040*1000/1000000)*(1-Assumptions!D64))+(((Assumptions!D63*3040*1000/1000000)*(1-Assumptions!D64))*Assumptions!D65/(1+Assumptions!D47)^6)+((Assumptions!D52*316.666667*1000/1000000)*0.3)/(1+Assumptions!D47)^25+(((Assumptions!D53*316.666667*1000/1000000)+(Assumptions!D66*380*1000/1000000))*(((1+Assumptions!D59)/(Assumptions!D47-Assumptions!D59))*(1-((1+Assumptions!D59)/(1+Assumptions!D47))^40))))*1000000/((316.666667*Assumptions!D54*8760)*((1-(1+Assumptions!D47)^(-40))/Assumptions!D47))</f>
        <v>257.37451147358911</v>
      </c>
      <c r="H47" s="127">
        <f>Assumptions!D63*3040*1000/1000000</f>
        <v>1216</v>
      </c>
      <c r="I47" s="127">
        <f>H47*Assumptions!D64</f>
        <v>364.8</v>
      </c>
      <c r="J47" s="127">
        <f>H47-I47</f>
        <v>851.2</v>
      </c>
    </row>
    <row r="51" spans="2:17" ht="19.5" customHeight="1" x14ac:dyDescent="0.25">
      <c r="B51" s="153" t="s">
        <v>313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</row>
    <row r="52" spans="2:17" ht="19.5" customHeight="1" x14ac:dyDescent="0.25">
      <c r="D52" s="167" t="s">
        <v>290</v>
      </c>
      <c r="E52" s="167"/>
      <c r="F52" s="167"/>
      <c r="G52" s="167"/>
      <c r="H52" s="177" t="s">
        <v>291</v>
      </c>
      <c r="I52" s="177"/>
      <c r="J52" s="177"/>
    </row>
    <row r="53" spans="2:17" ht="30" customHeight="1" x14ac:dyDescent="0.25">
      <c r="B53" s="1" t="s">
        <v>292</v>
      </c>
      <c r="C53" s="1" t="s">
        <v>293</v>
      </c>
      <c r="D53" s="1" t="s">
        <v>167</v>
      </c>
      <c r="E53" s="1" t="s">
        <v>168</v>
      </c>
      <c r="F53" s="1" t="s">
        <v>169</v>
      </c>
      <c r="G53" s="1" t="s">
        <v>170</v>
      </c>
      <c r="H53" s="1" t="s">
        <v>294</v>
      </c>
      <c r="I53" s="1" t="s">
        <v>295</v>
      </c>
      <c r="J53" s="1" t="s">
        <v>296</v>
      </c>
    </row>
    <row r="54" spans="2:17" ht="18" customHeight="1" x14ac:dyDescent="0.25">
      <c r="B54" s="174" t="s">
        <v>314</v>
      </c>
      <c r="C54" s="174"/>
      <c r="D54" s="174"/>
      <c r="E54" s="174"/>
      <c r="F54" s="174"/>
      <c r="G54" s="174"/>
      <c r="H54" s="174"/>
      <c r="I54" s="174"/>
      <c r="J54" s="174"/>
    </row>
    <row r="55" spans="2:17" ht="18" customHeight="1" x14ac:dyDescent="0.25">
      <c r="B55" s="93" t="s">
        <v>298</v>
      </c>
      <c r="C55" s="94">
        <v>1600</v>
      </c>
      <c r="D55" s="48">
        <f>((Assumptions!D52*333.333333*1000/1000000)+((Assumptions!D61*1600*1000/1000000)*(1-Assumptions!D64))+(((Assumptions!D61*1600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316.05071354411609</v>
      </c>
      <c r="E55" s="48">
        <f>((Assumptions!D52*333.333333*1000/1000000)+((Assumptions!D61*1600*1000/1000000)*(1-Assumptions!D64))+(((Assumptions!D61*1600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231.27144658131886</v>
      </c>
      <c r="F55" s="48">
        <f>((Assumptions!D52*333.333333*1000/1000000)+((Assumptions!D61*1600*1000/1000000)*(1-Assumptions!D64))+(((Assumptions!D61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215.03318735658394</v>
      </c>
      <c r="G55" s="48">
        <f>((Assumptions!D52*333.333333*1000/1000000)+((Assumptions!D61*1600*1000/1000000)*(1-Assumptions!D64))+(((Assumptions!D61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207.01687468295532</v>
      </c>
      <c r="H55" s="95">
        <f>Assumptions!D61*1600*1000/1000000</f>
        <v>480</v>
      </c>
      <c r="I55" s="95">
        <f>H55*Assumptions!D64</f>
        <v>144</v>
      </c>
      <c r="J55" s="95">
        <f>H55-I55</f>
        <v>336</v>
      </c>
    </row>
    <row r="56" spans="2:17" ht="18" customHeight="1" x14ac:dyDescent="0.25">
      <c r="B56" s="96" t="s">
        <v>299</v>
      </c>
      <c r="C56" s="97">
        <v>1600</v>
      </c>
      <c r="D56" s="98">
        <f>((Assumptions!D52*333.333333*1000/1000000)+((Assumptions!D62*1600*1000/1000000)*(1-Assumptions!D64))+(((Assumptions!D62*1600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324.99986502979959</v>
      </c>
      <c r="E56" s="98">
        <f>((Assumptions!D52*333.333333*1000/1000000)+((Assumptions!D62*1600*1000/1000000)*(1-Assumptions!D64))+(((Assumptions!D62*1600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237.38762435176398</v>
      </c>
      <c r="F56" s="98">
        <f>((Assumptions!D52*333.333333*1000/1000000)+((Assumptions!D62*1600*1000/1000000)*(1-Assumptions!D64))+(((Assumptions!D62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220.36723341966194</v>
      </c>
      <c r="G56" s="98">
        <f>((Assumptions!D52*333.333333*1000/1000000)+((Assumptions!D62*1600*1000/1000000)*(1-Assumptions!D64))+(((Assumptions!D62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212.05263837941462</v>
      </c>
      <c r="H56" s="99">
        <f>Assumptions!D62*1600*1000/1000000</f>
        <v>560</v>
      </c>
      <c r="I56" s="99">
        <f>H56*Assumptions!D64</f>
        <v>168</v>
      </c>
      <c r="J56" s="99">
        <f>H56-I56</f>
        <v>392</v>
      </c>
    </row>
    <row r="57" spans="2:17" ht="18" customHeight="1" x14ac:dyDescent="0.25">
      <c r="B57" s="100" t="s">
        <v>300</v>
      </c>
      <c r="C57" s="101">
        <v>1600</v>
      </c>
      <c r="D57" s="102">
        <f>((Assumptions!D52*333.333333*1000/1000000)+((Assumptions!D63*1600*1000/1000000)*(1-Assumptions!D64))+(((Assumptions!D63*1600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333.94901651548309</v>
      </c>
      <c r="E57" s="102">
        <f>((Assumptions!D52*333.333333*1000/1000000)+((Assumptions!D63*1600*1000/1000000)*(1-Assumptions!D64))+(((Assumptions!D63*1600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243.50380212220904</v>
      </c>
      <c r="F57" s="102">
        <f>((Assumptions!D52*333.333333*1000/1000000)+((Assumptions!D63*1600*1000/1000000)*(1-Assumptions!D64))+(((Assumptions!D63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225.70127948273992</v>
      </c>
      <c r="G57" s="102">
        <f>((Assumptions!D52*333.333333*1000/1000000)+((Assumptions!D63*1600*1000/1000000)*(1-Assumptions!D64))+(((Assumptions!D63*1600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217.08840207587394</v>
      </c>
      <c r="H57" s="103">
        <f>Assumptions!D63*1600*1000/1000000</f>
        <v>640</v>
      </c>
      <c r="I57" s="103">
        <f>H57*Assumptions!D64</f>
        <v>192</v>
      </c>
      <c r="J57" s="103">
        <f>H57-I57</f>
        <v>448</v>
      </c>
    </row>
    <row r="59" spans="2:17" ht="18" customHeight="1" x14ac:dyDescent="0.25">
      <c r="B59" s="175" t="s">
        <v>315</v>
      </c>
      <c r="C59" s="175"/>
      <c r="D59" s="175"/>
      <c r="E59" s="175"/>
      <c r="F59" s="175"/>
      <c r="G59" s="175"/>
      <c r="H59" s="175"/>
      <c r="I59" s="175"/>
      <c r="J59" s="175"/>
    </row>
    <row r="60" spans="2:17" ht="18" customHeight="1" x14ac:dyDescent="0.25">
      <c r="B60" s="104" t="s">
        <v>302</v>
      </c>
      <c r="C60" s="105">
        <v>2400</v>
      </c>
      <c r="D60" s="106">
        <f>((Assumptions!D52*333.333333*1000/1000000)+((Assumptions!D61*2400*1000/1000000)*(1-Assumptions!D64))+(((Assumptions!D61*2400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342.89816800116665</v>
      </c>
      <c r="E60" s="106">
        <f>((Assumptions!D52*333.333333*1000/1000000)+((Assumptions!D61*2400*1000/1000000)*(1-Assumptions!D64))+(((Assumptions!D61*2400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249.61997989265407</v>
      </c>
      <c r="F60" s="106">
        <f>((Assumptions!D52*333.333333*1000/1000000)+((Assumptions!D61*2400*1000/1000000)*(1-Assumptions!D64))+(((Assumptions!D61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231.0353255458179</v>
      </c>
      <c r="G60" s="106">
        <f>((Assumptions!D52*333.333333*1000/1000000)+((Assumptions!D61*2400*1000/1000000)*(1-Assumptions!D64))+(((Assumptions!D61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222.12416577233321</v>
      </c>
      <c r="H60" s="107">
        <f>Assumptions!D61*2400*1000/1000000</f>
        <v>720</v>
      </c>
      <c r="I60" s="107">
        <f>H60*Assumptions!D64</f>
        <v>216</v>
      </c>
      <c r="J60" s="107">
        <f>H60-I60</f>
        <v>504</v>
      </c>
    </row>
    <row r="61" spans="2:17" ht="18" customHeight="1" x14ac:dyDescent="0.25">
      <c r="B61" s="108" t="s">
        <v>303</v>
      </c>
      <c r="C61" s="109">
        <v>2400</v>
      </c>
      <c r="D61" s="110">
        <f>((Assumptions!D52*333.333333*1000/1000000)+((Assumptions!D62*2400*1000/1000000)*(1-Assumptions!D64))+(((Assumptions!D62*2400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356.32189522969202</v>
      </c>
      <c r="E61" s="110">
        <f>((Assumptions!D52*333.333333*1000/1000000)+((Assumptions!D62*2400*1000/1000000)*(1-Assumptions!D64))+(((Assumptions!D62*2400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258.79424654832172</v>
      </c>
      <c r="F61" s="110">
        <f>((Assumptions!D52*333.333333*1000/1000000)+((Assumptions!D62*2400*1000/1000000)*(1-Assumptions!D64))+(((Assumptions!D62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239.03639464043496</v>
      </c>
      <c r="G61" s="110">
        <f>((Assumptions!D52*333.333333*1000/1000000)+((Assumptions!D62*2400*1000/1000000)*(1-Assumptions!D64))+(((Assumptions!D62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229.67781131702222</v>
      </c>
      <c r="H61" s="111">
        <f>Assumptions!D62*2400*1000/1000000</f>
        <v>840</v>
      </c>
      <c r="I61" s="111">
        <f>H61*Assumptions!D64</f>
        <v>252</v>
      </c>
      <c r="J61" s="111">
        <f>H61-I61</f>
        <v>588</v>
      </c>
    </row>
    <row r="62" spans="2:17" ht="18" customHeight="1" x14ac:dyDescent="0.25">
      <c r="B62" s="112" t="s">
        <v>304</v>
      </c>
      <c r="C62" s="113">
        <v>2400</v>
      </c>
      <c r="D62" s="114">
        <f>((Assumptions!D52*333.333333*1000/1000000)+((Assumptions!D63*2400*1000/1000000)*(1-Assumptions!D64))+(((Assumptions!D63*2400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369.74562245821733</v>
      </c>
      <c r="E62" s="114">
        <f>((Assumptions!D52*333.333333*1000/1000000)+((Assumptions!D63*2400*1000/1000000)*(1-Assumptions!D64))+(((Assumptions!D63*2400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267.9685132039894</v>
      </c>
      <c r="F62" s="114">
        <f>((Assumptions!D52*333.333333*1000/1000000)+((Assumptions!D63*2400*1000/1000000)*(1-Assumptions!D64))+(((Assumptions!D63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247.037463735052</v>
      </c>
      <c r="G62" s="114">
        <f>((Assumptions!D52*333.333333*1000/1000000)+((Assumptions!D63*2400*1000/1000000)*(1-Assumptions!D64))+(((Assumptions!D63*2400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237.23145686171119</v>
      </c>
      <c r="H62" s="115">
        <f>Assumptions!D63*2400*1000/1000000</f>
        <v>960</v>
      </c>
      <c r="I62" s="115">
        <f>H62*Assumptions!D64</f>
        <v>288</v>
      </c>
      <c r="J62" s="115">
        <f>H62-I62</f>
        <v>672</v>
      </c>
    </row>
    <row r="64" spans="2:17" ht="18" customHeight="1" x14ac:dyDescent="0.25">
      <c r="B64" s="176" t="s">
        <v>316</v>
      </c>
      <c r="C64" s="176"/>
      <c r="D64" s="176"/>
      <c r="E64" s="176"/>
      <c r="F64" s="176"/>
      <c r="G64" s="176"/>
      <c r="H64" s="176"/>
      <c r="I64" s="176"/>
      <c r="J64" s="176"/>
    </row>
    <row r="65" spans="2:10" ht="18" customHeight="1" x14ac:dyDescent="0.25">
      <c r="B65" s="116" t="s">
        <v>306</v>
      </c>
      <c r="C65" s="117">
        <v>3200</v>
      </c>
      <c r="D65" s="118">
        <f>((Assumptions!D52*333.333333*1000/1000000)+((Assumptions!D61*3200*1000/1000000)*(1-Assumptions!D64))+(((Assumptions!D61*3200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369.74562245821733</v>
      </c>
      <c r="E65" s="118">
        <f>((Assumptions!D52*333.333333*1000/1000000)+((Assumptions!D61*3200*1000/1000000)*(1-Assumptions!D64))+(((Assumptions!D61*3200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267.9685132039894</v>
      </c>
      <c r="F65" s="118">
        <f>((Assumptions!D52*333.333333*1000/1000000)+((Assumptions!D61*3200*1000/1000000)*(1-Assumptions!D64))+(((Assumptions!D61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247.037463735052</v>
      </c>
      <c r="G65" s="118">
        <f>((Assumptions!D52*333.333333*1000/1000000)+((Assumptions!D61*3200*1000/1000000)*(1-Assumptions!D64))+(((Assumptions!D61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237.23145686171119</v>
      </c>
      <c r="H65" s="119">
        <f>Assumptions!D61*3200*1000/1000000</f>
        <v>960</v>
      </c>
      <c r="I65" s="119">
        <f>H65*Assumptions!D64</f>
        <v>288</v>
      </c>
      <c r="J65" s="119">
        <f>H65-I65</f>
        <v>672</v>
      </c>
    </row>
    <row r="66" spans="2:10" ht="18" customHeight="1" x14ac:dyDescent="0.25">
      <c r="B66" s="120" t="s">
        <v>307</v>
      </c>
      <c r="C66" s="121">
        <v>3200</v>
      </c>
      <c r="D66" s="122">
        <f>((Assumptions!D52*333.333333*1000/1000000)+((Assumptions!D62*3200*1000/1000000)*(1-Assumptions!D64))+(((Assumptions!D62*3200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387.64392542958444</v>
      </c>
      <c r="E66" s="122">
        <f>((Assumptions!D52*333.333333*1000/1000000)+((Assumptions!D62*3200*1000/1000000)*(1-Assumptions!D64))+(((Assumptions!D62*3200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280.20086874487953</v>
      </c>
      <c r="F66" s="122">
        <f>((Assumptions!D52*333.333333*1000/1000000)+((Assumptions!D62*3200*1000/1000000)*(1-Assumptions!D64))+(((Assumptions!D62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257.70555586120804</v>
      </c>
      <c r="G66" s="122">
        <f>((Assumptions!D52*333.333333*1000/1000000)+((Assumptions!D62*3200*1000/1000000)*(1-Assumptions!D64))+(((Assumptions!D62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247.30298425462982</v>
      </c>
      <c r="H66" s="123">
        <f>Assumptions!D62*3200*1000/1000000</f>
        <v>1120</v>
      </c>
      <c r="I66" s="123">
        <f>H66*Assumptions!D64</f>
        <v>336</v>
      </c>
      <c r="J66" s="123">
        <f>H66-I66</f>
        <v>784</v>
      </c>
    </row>
    <row r="67" spans="2:10" ht="18" customHeight="1" x14ac:dyDescent="0.25">
      <c r="B67" s="124" t="s">
        <v>308</v>
      </c>
      <c r="C67" s="125">
        <v>3200</v>
      </c>
      <c r="D67" s="126">
        <f>((Assumptions!D52*333.333333*1000/1000000)+((Assumptions!D63*3200*1000/1000000)*(1-Assumptions!D64))+(((Assumptions!D63*3200*1000/1000000)*(1-Assumptions!D64))*Assumptions!D65/(1+Assumptions!D47)^6)+(((Assumptions!D53*333.333333*1000/1000000)+(Assumptions!D66*400*1000/1000000))*(((1+Assumptions!D59)/(Assumptions!D47-Assumptions!D59))*(1-((1+Assumptions!D59)/(1+Assumptions!D47))^10))))*1000000/((333.333333*Assumptions!D54*8760)*((1-(1+Assumptions!D47)^(-10))/Assumptions!D47))</f>
        <v>405.5422284009515</v>
      </c>
      <c r="E67" s="126">
        <f>((Assumptions!D52*333.333333*1000/1000000)+((Assumptions!D63*3200*1000/1000000)*(1-Assumptions!D64))+(((Assumptions!D63*3200*1000/1000000)*(1-Assumptions!D64))*Assumptions!D65/(1+Assumptions!D47)^6)+(((Assumptions!D53*333.333333*1000/1000000)+(Assumptions!D66*400*1000/1000000))*(((1+Assumptions!D59)/(Assumptions!D47-Assumptions!D59))*(1-((1+Assumptions!D59)/(1+Assumptions!D47))^20))))*1000000/((333.333333*Assumptions!D54*8760)*((1-(1+Assumptions!D47)^(-20))/Assumptions!D47))</f>
        <v>292.43322428576971</v>
      </c>
      <c r="F67" s="126">
        <f>((Assumptions!D52*333.333333*1000/1000000)+((Assumptions!D63*3200*1000/1000000)*(1-Assumptions!D64))+(((Assumptions!D63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30))))*1000000/((333.333333*Assumptions!D54*8760)*((1-(1+Assumptions!D47)^(-30))/Assumptions!D47))</f>
        <v>268.37364798736405</v>
      </c>
      <c r="G67" s="126">
        <f>((Assumptions!D52*333.333333*1000/1000000)+((Assumptions!D63*3200*1000/1000000)*(1-Assumptions!D64))+(((Assumptions!D63*3200*1000/1000000)*(1-Assumptions!D64))*Assumptions!D65/(1+Assumptions!D47)^6)+((Assumptions!D52*333.333333*1000/1000000)*0.3)/(1+Assumptions!D47)^25+(((Assumptions!D53*333.333333*1000/1000000)+(Assumptions!D66*400*1000/1000000))*(((1+Assumptions!D59)/(Assumptions!D47-Assumptions!D59))*(1-((1+Assumptions!D59)/(1+Assumptions!D47))^40))))*1000000/((333.333333*Assumptions!D54*8760)*((1-(1+Assumptions!D47)^(-40))/Assumptions!D47))</f>
        <v>257.37451164754845</v>
      </c>
      <c r="H67" s="127">
        <f>Assumptions!D63*3200*1000/1000000</f>
        <v>1280</v>
      </c>
      <c r="I67" s="127">
        <f>H67*Assumptions!D64</f>
        <v>384</v>
      </c>
      <c r="J67" s="127">
        <f>H67-I67</f>
        <v>896</v>
      </c>
    </row>
    <row r="71" spans="2:10" ht="15" customHeight="1" x14ac:dyDescent="0.25">
      <c r="B71" s="152" t="s">
        <v>317</v>
      </c>
      <c r="C71" s="152"/>
      <c r="D71" s="152"/>
      <c r="E71" s="152"/>
      <c r="F71" s="152"/>
      <c r="G71" s="152"/>
      <c r="H71" s="152"/>
      <c r="I71" s="152"/>
      <c r="J71" s="152"/>
    </row>
  </sheetData>
  <mergeCells count="22">
    <mergeCell ref="B2:R2"/>
    <mergeCell ref="B3:R3"/>
    <mergeCell ref="B5:I5"/>
    <mergeCell ref="B11:Q11"/>
    <mergeCell ref="D12:G12"/>
    <mergeCell ref="H12:J12"/>
    <mergeCell ref="B14:J14"/>
    <mergeCell ref="B19:J19"/>
    <mergeCell ref="B24:J24"/>
    <mergeCell ref="B31:Q31"/>
    <mergeCell ref="D32:G32"/>
    <mergeCell ref="H32:J32"/>
    <mergeCell ref="B54:J54"/>
    <mergeCell ref="B59:J59"/>
    <mergeCell ref="B64:J64"/>
    <mergeCell ref="B71:J71"/>
    <mergeCell ref="B34:J34"/>
    <mergeCell ref="B39:J39"/>
    <mergeCell ref="B44:J44"/>
    <mergeCell ref="B51:Q51"/>
    <mergeCell ref="D52:G52"/>
    <mergeCell ref="H52:J5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115"/>
  <sheetViews>
    <sheetView showGridLines="0" tabSelected="1" zoomScaleNormal="100" workbookViewId="0">
      <pane xSplit="1" ySplit="7" topLeftCell="B114" activePane="bottomRight" state="frozen"/>
      <selection pane="topRight" activeCell="B1" sqref="B1"/>
      <selection pane="bottomLeft" activeCell="A8" sqref="A8"/>
      <selection pane="bottomRight" activeCell="M137" sqref="M137"/>
    </sheetView>
  </sheetViews>
  <sheetFormatPr defaultColWidth="8.7109375" defaultRowHeight="15" customHeight="1" x14ac:dyDescent="0.25"/>
  <cols>
    <col min="1" max="1" width="3" customWidth="1"/>
    <col min="2" max="2" width="26" customWidth="1"/>
    <col min="3" max="3" width="20" customWidth="1"/>
    <col min="4" max="21" width="12" customWidth="1"/>
  </cols>
  <sheetData>
    <row r="1" spans="2:25" ht="7.5" customHeight="1" x14ac:dyDescent="0.25"/>
    <row r="2" spans="2:25" ht="27.75" customHeight="1" x14ac:dyDescent="0.25">
      <c r="B2" s="158" t="s">
        <v>318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2:25" ht="19.5" customHeight="1" x14ac:dyDescent="0.25">
      <c r="B3" s="159" t="s">
        <v>319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</row>
    <row r="5" spans="2:25" ht="19.5" customHeight="1" x14ac:dyDescent="0.25">
      <c r="B5" s="157" t="s">
        <v>320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</row>
    <row r="6" spans="2:25" ht="21.75" customHeight="1" x14ac:dyDescent="0.25">
      <c r="D6" s="160" t="s">
        <v>321</v>
      </c>
      <c r="E6" s="160"/>
      <c r="F6" s="128" t="s">
        <v>249</v>
      </c>
      <c r="G6" s="155" t="s">
        <v>322</v>
      </c>
      <c r="H6" s="155"/>
      <c r="I6" s="155"/>
      <c r="J6" s="150" t="s">
        <v>323</v>
      </c>
      <c r="K6" s="150"/>
      <c r="L6" s="150"/>
      <c r="M6" s="151" t="s">
        <v>324</v>
      </c>
      <c r="N6" s="151"/>
      <c r="O6" s="151"/>
      <c r="P6" s="155" t="s">
        <v>325</v>
      </c>
      <c r="Q6" s="155"/>
      <c r="R6" s="155"/>
      <c r="S6" s="150" t="s">
        <v>326</v>
      </c>
      <c r="T6" s="150"/>
      <c r="U6" s="150"/>
      <c r="V6" s="151" t="s">
        <v>327</v>
      </c>
      <c r="W6" s="151"/>
      <c r="X6" s="151"/>
    </row>
    <row r="7" spans="2:25" ht="30" customHeight="1" x14ac:dyDescent="0.25">
      <c r="B7" s="1" t="s">
        <v>230</v>
      </c>
      <c r="C7" s="1" t="s">
        <v>3</v>
      </c>
      <c r="D7" s="1" t="s">
        <v>4</v>
      </c>
      <c r="E7" s="1" t="s">
        <v>5</v>
      </c>
      <c r="F7" s="1" t="s">
        <v>6</v>
      </c>
      <c r="G7" s="129" t="s">
        <v>328</v>
      </c>
      <c r="H7" s="129" t="s">
        <v>329</v>
      </c>
      <c r="I7" s="129" t="s">
        <v>330</v>
      </c>
      <c r="J7" s="130" t="s">
        <v>328</v>
      </c>
      <c r="K7" s="130" t="s">
        <v>329</v>
      </c>
      <c r="L7" s="130" t="s">
        <v>330</v>
      </c>
      <c r="M7" s="131" t="s">
        <v>328</v>
      </c>
      <c r="N7" s="131" t="s">
        <v>329</v>
      </c>
      <c r="O7" s="131" t="s">
        <v>330</v>
      </c>
      <c r="P7" s="129" t="s">
        <v>331</v>
      </c>
      <c r="Q7" s="129" t="s">
        <v>332</v>
      </c>
      <c r="R7" s="129" t="s">
        <v>333</v>
      </c>
      <c r="S7" s="130" t="s">
        <v>331</v>
      </c>
      <c r="T7" s="130" t="s">
        <v>332</v>
      </c>
      <c r="U7" s="130" t="s">
        <v>333</v>
      </c>
      <c r="V7" s="131" t="s">
        <v>331</v>
      </c>
      <c r="W7" s="131" t="s">
        <v>332</v>
      </c>
      <c r="X7" s="131" t="s">
        <v>333</v>
      </c>
    </row>
    <row r="8" spans="2:25" ht="19.5" customHeight="1" x14ac:dyDescent="0.25">
      <c r="B8" s="153" t="s">
        <v>172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</row>
    <row r="9" spans="2:25" ht="18" customHeight="1" x14ac:dyDescent="0.25">
      <c r="B9" s="69" t="s">
        <v>239</v>
      </c>
      <c r="C9" s="17" t="s">
        <v>334</v>
      </c>
      <c r="D9" s="70">
        <f>'Gas Plant LCOE'!D8</f>
        <v>132.1887222161827</v>
      </c>
      <c r="E9" s="71">
        <f>'Gas Plant LCOE'!I8</f>
        <v>118.04364331193808</v>
      </c>
      <c r="F9" s="72">
        <f>'Offshore Wind LCOE'!D19</f>
        <v>190.72742433692062</v>
      </c>
      <c r="G9" s="48">
        <f>'BESS Duration Sensitivity'!E15</f>
        <v>231.27144654077483</v>
      </c>
      <c r="H9" s="48">
        <f>'BESS Duration Sensitivity'!E16</f>
        <v>237.38762430510371</v>
      </c>
      <c r="I9" s="48">
        <f>'BESS Duration Sensitivity'!E17</f>
        <v>243.50380206943265</v>
      </c>
      <c r="J9" s="132">
        <f>'BESS Duration Sensitivity'!E20</f>
        <v>249.61997983376153</v>
      </c>
      <c r="K9" s="132">
        <f>'BESS Duration Sensitivity'!E21</f>
        <v>258.79424648025486</v>
      </c>
      <c r="L9" s="132">
        <f>'BESS Duration Sensitivity'!E22</f>
        <v>267.96851312674829</v>
      </c>
      <c r="M9" s="126">
        <f>'BESS Duration Sensitivity'!E25</f>
        <v>267.96851312674829</v>
      </c>
      <c r="N9" s="126">
        <f>'BESS Duration Sensitivity'!E26</f>
        <v>280.20086865540611</v>
      </c>
      <c r="O9" s="126">
        <f>'BESS Duration Sensitivity'!E27</f>
        <v>292.43322418406387</v>
      </c>
      <c r="P9" s="133">
        <f>D9-G9</f>
        <v>-99.082724324592135</v>
      </c>
      <c r="Q9" s="133">
        <f>D9-H9</f>
        <v>-105.19890208892102</v>
      </c>
      <c r="R9" s="133">
        <f>D9-I9</f>
        <v>-111.31507985324996</v>
      </c>
      <c r="S9" s="134">
        <f>D9-J9</f>
        <v>-117.43125761757884</v>
      </c>
      <c r="T9" s="134">
        <f>D9-K9</f>
        <v>-126.60552426407216</v>
      </c>
      <c r="U9" s="134">
        <f>D9-L9</f>
        <v>-135.77979091056559</v>
      </c>
      <c r="V9" s="135">
        <f>D9-M9</f>
        <v>-135.77979091056559</v>
      </c>
      <c r="W9" s="135">
        <f>D9-N9</f>
        <v>-148.01214643922341</v>
      </c>
      <c r="X9" s="135">
        <f>D9-O9</f>
        <v>-160.24450196788118</v>
      </c>
    </row>
    <row r="10" spans="2:25" ht="18" customHeight="1" x14ac:dyDescent="0.25">
      <c r="B10" s="8" t="s">
        <v>239</v>
      </c>
      <c r="C10" s="19" t="s">
        <v>335</v>
      </c>
      <c r="D10" s="73">
        <f>'Gas Plant LCOE'!D9</f>
        <v>165.62688361192053</v>
      </c>
      <c r="E10" s="71">
        <f>'Gas Plant LCOE'!I9</f>
        <v>151.48180470767588</v>
      </c>
      <c r="F10" s="72">
        <f>'Offshore Wind LCOE'!D19</f>
        <v>190.72742433692062</v>
      </c>
      <c r="G10" s="48">
        <f>'BESS Duration Sensitivity'!E15</f>
        <v>231.27144654077483</v>
      </c>
      <c r="H10" s="48">
        <f>'BESS Duration Sensitivity'!E16</f>
        <v>237.38762430510371</v>
      </c>
      <c r="I10" s="48">
        <f>'BESS Duration Sensitivity'!E17</f>
        <v>243.50380206943265</v>
      </c>
      <c r="J10" s="132">
        <f>'BESS Duration Sensitivity'!E20</f>
        <v>249.61997983376153</v>
      </c>
      <c r="K10" s="132">
        <f>'BESS Duration Sensitivity'!E21</f>
        <v>258.79424648025486</v>
      </c>
      <c r="L10" s="132">
        <f>'BESS Duration Sensitivity'!E22</f>
        <v>267.96851312674829</v>
      </c>
      <c r="M10" s="126">
        <f>'BESS Duration Sensitivity'!E25</f>
        <v>267.96851312674829</v>
      </c>
      <c r="N10" s="126">
        <f>'BESS Duration Sensitivity'!E26</f>
        <v>280.20086865540611</v>
      </c>
      <c r="O10" s="126">
        <f>'BESS Duration Sensitivity'!E27</f>
        <v>292.43322418406387</v>
      </c>
      <c r="P10" s="133">
        <f>D10-G10</f>
        <v>-65.644562928854299</v>
      </c>
      <c r="Q10" s="133">
        <f>D10-H10</f>
        <v>-71.76074069318318</v>
      </c>
      <c r="R10" s="133">
        <f>D10-I10</f>
        <v>-77.876918457512119</v>
      </c>
      <c r="S10" s="134">
        <f>D10-J10</f>
        <v>-83.993096221841</v>
      </c>
      <c r="T10" s="134">
        <f>D10-K10</f>
        <v>-93.167362868334322</v>
      </c>
      <c r="U10" s="134">
        <f>D10-L10</f>
        <v>-102.34162951482776</v>
      </c>
      <c r="V10" s="135">
        <f>D10-M10</f>
        <v>-102.34162951482776</v>
      </c>
      <c r="W10" s="135">
        <f>D10-N10</f>
        <v>-114.57398504348558</v>
      </c>
      <c r="X10" s="135">
        <f>D10-O10</f>
        <v>-126.80634057214334</v>
      </c>
    </row>
    <row r="11" spans="2:25" ht="18" customHeight="1" x14ac:dyDescent="0.25">
      <c r="B11" s="2" t="s">
        <v>239</v>
      </c>
      <c r="C11" s="17" t="s">
        <v>336</v>
      </c>
      <c r="D11" s="70">
        <f>'Gas Plant LCOE'!D10</f>
        <v>199.06504500765831</v>
      </c>
      <c r="E11" s="71">
        <f>'Gas Plant LCOE'!I10</f>
        <v>184.91996610341369</v>
      </c>
      <c r="F11" s="72">
        <f>'Offshore Wind LCOE'!D19</f>
        <v>190.72742433692062</v>
      </c>
      <c r="G11" s="48">
        <f>'BESS Duration Sensitivity'!E15</f>
        <v>231.27144654077483</v>
      </c>
      <c r="H11" s="48">
        <f>'BESS Duration Sensitivity'!E16</f>
        <v>237.38762430510371</v>
      </c>
      <c r="I11" s="48">
        <f>'BESS Duration Sensitivity'!E17</f>
        <v>243.50380206943265</v>
      </c>
      <c r="J11" s="132">
        <f>'BESS Duration Sensitivity'!E20</f>
        <v>249.61997983376153</v>
      </c>
      <c r="K11" s="132">
        <f>'BESS Duration Sensitivity'!E21</f>
        <v>258.79424648025486</v>
      </c>
      <c r="L11" s="132">
        <f>'BESS Duration Sensitivity'!E22</f>
        <v>267.96851312674829</v>
      </c>
      <c r="M11" s="126">
        <f>'BESS Duration Sensitivity'!E25</f>
        <v>267.96851312674829</v>
      </c>
      <c r="N11" s="126">
        <f>'BESS Duration Sensitivity'!E26</f>
        <v>280.20086865540611</v>
      </c>
      <c r="O11" s="126">
        <f>'BESS Duration Sensitivity'!E27</f>
        <v>292.43322418406387</v>
      </c>
      <c r="P11" s="133">
        <f>D11-G11</f>
        <v>-32.206401533116519</v>
      </c>
      <c r="Q11" s="133">
        <f>D11-H11</f>
        <v>-38.322579297445401</v>
      </c>
      <c r="R11" s="133">
        <f>D11-I11</f>
        <v>-44.438757061774339</v>
      </c>
      <c r="S11" s="134">
        <f>D11-J11</f>
        <v>-50.554934826103221</v>
      </c>
      <c r="T11" s="134">
        <f>D11-K11</f>
        <v>-59.729201472596543</v>
      </c>
      <c r="U11" s="134">
        <f>D11-L11</f>
        <v>-68.903468119089979</v>
      </c>
      <c r="V11" s="135">
        <f>D11-M11</f>
        <v>-68.903468119089979</v>
      </c>
      <c r="W11" s="135">
        <f>D11-N11</f>
        <v>-81.135823647747799</v>
      </c>
      <c r="X11" s="135">
        <f>D11-O11</f>
        <v>-93.368179176405562</v>
      </c>
    </row>
    <row r="12" spans="2:25" ht="18" customHeight="1" x14ac:dyDescent="0.25">
      <c r="B12" s="8" t="s">
        <v>239</v>
      </c>
      <c r="C12" s="19" t="s">
        <v>337</v>
      </c>
      <c r="D12" s="73">
        <f>'Gas Plant LCOE'!D11</f>
        <v>232.50320640339609</v>
      </c>
      <c r="E12" s="71">
        <f>'Gas Plant LCOE'!I11</f>
        <v>218.35812749915146</v>
      </c>
      <c r="F12" s="72">
        <f>'Offshore Wind LCOE'!D19</f>
        <v>190.72742433692062</v>
      </c>
      <c r="G12" s="48">
        <f>'BESS Duration Sensitivity'!E15</f>
        <v>231.27144654077483</v>
      </c>
      <c r="H12" s="48">
        <f>'BESS Duration Sensitivity'!E16</f>
        <v>237.38762430510371</v>
      </c>
      <c r="I12" s="48">
        <f>'BESS Duration Sensitivity'!E17</f>
        <v>243.50380206943265</v>
      </c>
      <c r="J12" s="132">
        <f>'BESS Duration Sensitivity'!E20</f>
        <v>249.61997983376153</v>
      </c>
      <c r="K12" s="132">
        <f>'BESS Duration Sensitivity'!E21</f>
        <v>258.79424648025486</v>
      </c>
      <c r="L12" s="132">
        <f>'BESS Duration Sensitivity'!E22</f>
        <v>267.96851312674829</v>
      </c>
      <c r="M12" s="126">
        <f>'BESS Duration Sensitivity'!E25</f>
        <v>267.96851312674829</v>
      </c>
      <c r="N12" s="126">
        <f>'BESS Duration Sensitivity'!E26</f>
        <v>280.20086865540611</v>
      </c>
      <c r="O12" s="126">
        <f>'BESS Duration Sensitivity'!E27</f>
        <v>292.43322418406387</v>
      </c>
      <c r="P12" s="133">
        <f>D12-G12</f>
        <v>1.23175986262126</v>
      </c>
      <c r="Q12" s="133">
        <f>D12-H12</f>
        <v>-4.8844179017076215</v>
      </c>
      <c r="R12" s="133">
        <f>D12-I12</f>
        <v>-11.00059566603656</v>
      </c>
      <c r="S12" s="134">
        <f>D12-J12</f>
        <v>-17.116773430365441</v>
      </c>
      <c r="T12" s="134">
        <f>D12-K12</f>
        <v>-26.291040076858764</v>
      </c>
      <c r="U12" s="134">
        <f>D12-L12</f>
        <v>-35.465306723352199</v>
      </c>
      <c r="V12" s="135">
        <f>D12-M12</f>
        <v>-35.465306723352199</v>
      </c>
      <c r="W12" s="135">
        <f>D12-N12</f>
        <v>-47.697662252010019</v>
      </c>
      <c r="X12" s="135">
        <f>D12-O12</f>
        <v>-59.930017780667782</v>
      </c>
    </row>
    <row r="14" spans="2:25" ht="19.5" customHeight="1" x14ac:dyDescent="0.25">
      <c r="B14" s="153" t="s">
        <v>173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</row>
    <row r="15" spans="2:25" ht="18" customHeight="1" x14ac:dyDescent="0.25">
      <c r="B15" s="69" t="s">
        <v>240</v>
      </c>
      <c r="C15" s="17" t="s">
        <v>334</v>
      </c>
      <c r="D15" s="70">
        <f>'Gas Plant LCOE'!D14</f>
        <v>135.72015801578939</v>
      </c>
      <c r="E15" s="71">
        <f>'Gas Plant LCOE'!I14</f>
        <v>121.57507911154478</v>
      </c>
      <c r="F15" s="72">
        <f>'Offshore Wind LCOE'!D19</f>
        <v>190.72742433692062</v>
      </c>
      <c r="G15" s="48">
        <f>'BESS Duration Sensitivity'!E35</f>
        <v>231.27144649809696</v>
      </c>
      <c r="H15" s="48">
        <f>'BESS Duration Sensitivity'!E36</f>
        <v>237.38762425598776</v>
      </c>
      <c r="I15" s="48">
        <f>'BESS Duration Sensitivity'!E37</f>
        <v>243.50380201387861</v>
      </c>
      <c r="J15" s="132">
        <f>'BESS Duration Sensitivity'!E40</f>
        <v>249.61997977176941</v>
      </c>
      <c r="K15" s="132">
        <f>'BESS Duration Sensitivity'!E41</f>
        <v>258.7942464086056</v>
      </c>
      <c r="L15" s="132">
        <f>'BESS Duration Sensitivity'!E42</f>
        <v>267.96851304544185</v>
      </c>
      <c r="M15" s="126">
        <f>'BESS Duration Sensitivity'!E45</f>
        <v>267.96851304544185</v>
      </c>
      <c r="N15" s="126">
        <f>'BESS Duration Sensitivity'!E46</f>
        <v>280.2008685612235</v>
      </c>
      <c r="O15" s="126">
        <f>'BESS Duration Sensitivity'!E47</f>
        <v>292.43322407700515</v>
      </c>
      <c r="P15" s="133">
        <f>D15-G15</f>
        <v>-95.551288482307569</v>
      </c>
      <c r="Q15" s="133">
        <f>D15-H15</f>
        <v>-101.66746624019837</v>
      </c>
      <c r="R15" s="133">
        <f>D15-I15</f>
        <v>-107.78364399808922</v>
      </c>
      <c r="S15" s="134">
        <f>D15-J15</f>
        <v>-113.89982175598001</v>
      </c>
      <c r="T15" s="134">
        <f>D15-K15</f>
        <v>-123.07408839281621</v>
      </c>
      <c r="U15" s="134">
        <f>D15-L15</f>
        <v>-132.24835502965246</v>
      </c>
      <c r="V15" s="135">
        <f>D15-M15</f>
        <v>-132.24835502965246</v>
      </c>
      <c r="W15" s="135">
        <f>D15-N15</f>
        <v>-144.48071054543411</v>
      </c>
      <c r="X15" s="135">
        <f>D15-O15</f>
        <v>-156.71306606121576</v>
      </c>
    </row>
    <row r="16" spans="2:25" ht="18" customHeight="1" x14ac:dyDescent="0.25">
      <c r="B16" s="8" t="s">
        <v>240</v>
      </c>
      <c r="C16" s="19" t="s">
        <v>335</v>
      </c>
      <c r="D16" s="73">
        <f>'Gas Plant LCOE'!D15</f>
        <v>169.1583194115272</v>
      </c>
      <c r="E16" s="71">
        <f>'Gas Plant LCOE'!I15</f>
        <v>155.01324050728257</v>
      </c>
      <c r="F16" s="72">
        <f>'Offshore Wind LCOE'!D19</f>
        <v>190.72742433692062</v>
      </c>
      <c r="G16" s="48">
        <f>'BESS Duration Sensitivity'!E35</f>
        <v>231.27144649809696</v>
      </c>
      <c r="H16" s="48">
        <f>'BESS Duration Sensitivity'!E36</f>
        <v>237.38762425598776</v>
      </c>
      <c r="I16" s="48">
        <f>'BESS Duration Sensitivity'!E37</f>
        <v>243.50380201387861</v>
      </c>
      <c r="J16" s="132">
        <f>'BESS Duration Sensitivity'!E40</f>
        <v>249.61997977176941</v>
      </c>
      <c r="K16" s="132">
        <f>'BESS Duration Sensitivity'!E41</f>
        <v>258.7942464086056</v>
      </c>
      <c r="L16" s="132">
        <f>'BESS Duration Sensitivity'!E42</f>
        <v>267.96851304544185</v>
      </c>
      <c r="M16" s="126">
        <f>'BESS Duration Sensitivity'!E45</f>
        <v>267.96851304544185</v>
      </c>
      <c r="N16" s="126">
        <f>'BESS Duration Sensitivity'!E46</f>
        <v>280.2008685612235</v>
      </c>
      <c r="O16" s="126">
        <f>'BESS Duration Sensitivity'!E47</f>
        <v>292.43322407700515</v>
      </c>
      <c r="P16" s="133">
        <f>D16-G16</f>
        <v>-62.113127086569762</v>
      </c>
      <c r="Q16" s="133">
        <f>D16-H16</f>
        <v>-68.229304844460557</v>
      </c>
      <c r="R16" s="133">
        <f>D16-I16</f>
        <v>-74.34548260235141</v>
      </c>
      <c r="S16" s="134">
        <f>D16-J16</f>
        <v>-80.461660360242206</v>
      </c>
      <c r="T16" s="134">
        <f>D16-K16</f>
        <v>-89.6359269970784</v>
      </c>
      <c r="U16" s="134">
        <f>D16-L16</f>
        <v>-98.81019363391465</v>
      </c>
      <c r="V16" s="135">
        <f>D16-M16</f>
        <v>-98.81019363391465</v>
      </c>
      <c r="W16" s="135">
        <f>D16-N16</f>
        <v>-111.0425491496963</v>
      </c>
      <c r="X16" s="135">
        <f>D16-O16</f>
        <v>-123.27490466547795</v>
      </c>
    </row>
    <row r="17" spans="2:25" ht="18" customHeight="1" x14ac:dyDescent="0.25">
      <c r="B17" s="2" t="s">
        <v>240</v>
      </c>
      <c r="C17" s="17" t="s">
        <v>336</v>
      </c>
      <c r="D17" s="70">
        <f>'Gas Plant LCOE'!D16</f>
        <v>202.59648080726495</v>
      </c>
      <c r="E17" s="71">
        <f>'Gas Plant LCOE'!I16</f>
        <v>188.45140190302033</v>
      </c>
      <c r="F17" s="72">
        <f>'Offshore Wind LCOE'!D19</f>
        <v>190.72742433692062</v>
      </c>
      <c r="G17" s="48">
        <f>'BESS Duration Sensitivity'!E35</f>
        <v>231.27144649809696</v>
      </c>
      <c r="H17" s="48">
        <f>'BESS Duration Sensitivity'!E36</f>
        <v>237.38762425598776</v>
      </c>
      <c r="I17" s="48">
        <f>'BESS Duration Sensitivity'!E37</f>
        <v>243.50380201387861</v>
      </c>
      <c r="J17" s="132">
        <f>'BESS Duration Sensitivity'!E40</f>
        <v>249.61997977176941</v>
      </c>
      <c r="K17" s="132">
        <f>'BESS Duration Sensitivity'!E41</f>
        <v>258.7942464086056</v>
      </c>
      <c r="L17" s="132">
        <f>'BESS Duration Sensitivity'!E42</f>
        <v>267.96851304544185</v>
      </c>
      <c r="M17" s="126">
        <f>'BESS Duration Sensitivity'!E45</f>
        <v>267.96851304544185</v>
      </c>
      <c r="N17" s="126">
        <f>'BESS Duration Sensitivity'!E46</f>
        <v>280.2008685612235</v>
      </c>
      <c r="O17" s="126">
        <f>'BESS Duration Sensitivity'!E47</f>
        <v>292.43322407700515</v>
      </c>
      <c r="P17" s="133">
        <f>D17-G17</f>
        <v>-28.674965690832011</v>
      </c>
      <c r="Q17" s="133">
        <f>D17-H17</f>
        <v>-34.791143448722806</v>
      </c>
      <c r="R17" s="133">
        <f>D17-I17</f>
        <v>-40.907321206613659</v>
      </c>
      <c r="S17" s="134">
        <f>D17-J17</f>
        <v>-47.023498964504455</v>
      </c>
      <c r="T17" s="134">
        <f>D17-K17</f>
        <v>-56.197765601340649</v>
      </c>
      <c r="U17" s="134">
        <f>D17-L17</f>
        <v>-65.372032238176899</v>
      </c>
      <c r="V17" s="135">
        <f>D17-M17</f>
        <v>-65.372032238176899</v>
      </c>
      <c r="W17" s="135">
        <f>D17-N17</f>
        <v>-77.604387753958548</v>
      </c>
      <c r="X17" s="135">
        <f>D17-O17</f>
        <v>-89.836743269740197</v>
      </c>
    </row>
    <row r="18" spans="2:25" ht="18" customHeight="1" x14ac:dyDescent="0.25">
      <c r="B18" s="8" t="s">
        <v>240</v>
      </c>
      <c r="C18" s="19" t="s">
        <v>337</v>
      </c>
      <c r="D18" s="73">
        <f>'Gas Plant LCOE'!D17</f>
        <v>236.03464220300276</v>
      </c>
      <c r="E18" s="71">
        <f>'Gas Plant LCOE'!I17</f>
        <v>221.88956329875813</v>
      </c>
      <c r="F18" s="72">
        <f>'Offshore Wind LCOE'!D19</f>
        <v>190.72742433692062</v>
      </c>
      <c r="G18" s="48">
        <f>'BESS Duration Sensitivity'!E35</f>
        <v>231.27144649809696</v>
      </c>
      <c r="H18" s="48">
        <f>'BESS Duration Sensitivity'!E36</f>
        <v>237.38762425598776</v>
      </c>
      <c r="I18" s="48">
        <f>'BESS Duration Sensitivity'!E37</f>
        <v>243.50380201387861</v>
      </c>
      <c r="J18" s="132">
        <f>'BESS Duration Sensitivity'!E40</f>
        <v>249.61997977176941</v>
      </c>
      <c r="K18" s="132">
        <f>'BESS Duration Sensitivity'!E41</f>
        <v>258.7942464086056</v>
      </c>
      <c r="L18" s="132">
        <f>'BESS Duration Sensitivity'!E42</f>
        <v>267.96851304544185</v>
      </c>
      <c r="M18" s="126">
        <f>'BESS Duration Sensitivity'!E45</f>
        <v>267.96851304544185</v>
      </c>
      <c r="N18" s="126">
        <f>'BESS Duration Sensitivity'!E46</f>
        <v>280.2008685612235</v>
      </c>
      <c r="O18" s="126">
        <f>'BESS Duration Sensitivity'!E47</f>
        <v>292.43322407700515</v>
      </c>
      <c r="P18" s="133">
        <f>D18-G18</f>
        <v>4.7631957049057974</v>
      </c>
      <c r="Q18" s="133">
        <f>D18-H18</f>
        <v>-1.3529820529849985</v>
      </c>
      <c r="R18" s="133">
        <f>D18-I18</f>
        <v>-7.4691598108758512</v>
      </c>
      <c r="S18" s="134">
        <f>D18-J18</f>
        <v>-13.585337568766647</v>
      </c>
      <c r="T18" s="134">
        <f>D18-K18</f>
        <v>-22.759604205602841</v>
      </c>
      <c r="U18" s="134">
        <f>D18-L18</f>
        <v>-31.933870842439092</v>
      </c>
      <c r="V18" s="135">
        <f>D18-M18</f>
        <v>-31.933870842439092</v>
      </c>
      <c r="W18" s="135">
        <f>D18-N18</f>
        <v>-44.16622635822074</v>
      </c>
      <c r="X18" s="135">
        <f>D18-O18</f>
        <v>-56.398581874002389</v>
      </c>
    </row>
    <row r="20" spans="2:25" ht="19.5" customHeight="1" x14ac:dyDescent="0.25">
      <c r="B20" s="153" t="s">
        <v>174</v>
      </c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</row>
    <row r="21" spans="2:25" ht="18" customHeight="1" x14ac:dyDescent="0.25">
      <c r="B21" s="69" t="s">
        <v>241</v>
      </c>
      <c r="C21" s="17" t="s">
        <v>334</v>
      </c>
      <c r="D21" s="70">
        <f>'Gas Plant LCOE'!D20</f>
        <v>132.1887222161827</v>
      </c>
      <c r="E21" s="71">
        <f>'Gas Plant LCOE'!I20</f>
        <v>118.04364331193808</v>
      </c>
      <c r="F21" s="72">
        <f>'Offshore Wind LCOE'!D19</f>
        <v>190.72742433692062</v>
      </c>
      <c r="G21" s="48">
        <f>'BESS Duration Sensitivity'!E55</f>
        <v>231.27144658131886</v>
      </c>
      <c r="H21" s="48">
        <f>'BESS Duration Sensitivity'!E56</f>
        <v>237.38762435176398</v>
      </c>
      <c r="I21" s="48">
        <f>'BESS Duration Sensitivity'!E57</f>
        <v>243.50380212220904</v>
      </c>
      <c r="J21" s="132">
        <f>'BESS Duration Sensitivity'!E60</f>
        <v>249.61997989265407</v>
      </c>
      <c r="K21" s="132">
        <f>'BESS Duration Sensitivity'!E61</f>
        <v>258.79424654832172</v>
      </c>
      <c r="L21" s="132">
        <f>'BESS Duration Sensitivity'!E62</f>
        <v>267.9685132039894</v>
      </c>
      <c r="M21" s="126">
        <f>'BESS Duration Sensitivity'!E65</f>
        <v>267.9685132039894</v>
      </c>
      <c r="N21" s="126">
        <f>'BESS Duration Sensitivity'!E66</f>
        <v>280.20086874487953</v>
      </c>
      <c r="O21" s="126">
        <f>'BESS Duration Sensitivity'!E67</f>
        <v>292.43322428576971</v>
      </c>
      <c r="P21" s="133">
        <f>D21-G21</f>
        <v>-99.082724365136158</v>
      </c>
      <c r="Q21" s="133">
        <f>D21-H21</f>
        <v>-105.19890213558128</v>
      </c>
      <c r="R21" s="133">
        <f>D21-I21</f>
        <v>-111.31507990602634</v>
      </c>
      <c r="S21" s="134">
        <f>D21-J21</f>
        <v>-117.43125767647138</v>
      </c>
      <c r="T21" s="134">
        <f>D21-K21</f>
        <v>-126.60552433213903</v>
      </c>
      <c r="U21" s="134">
        <f>D21-L21</f>
        <v>-135.77979098780671</v>
      </c>
      <c r="V21" s="135">
        <f>D21-M21</f>
        <v>-135.77979098780671</v>
      </c>
      <c r="W21" s="135">
        <f>D21-N21</f>
        <v>-148.01214652869683</v>
      </c>
      <c r="X21" s="135">
        <f>D21-O21</f>
        <v>-160.24450206958701</v>
      </c>
    </row>
    <row r="22" spans="2:25" ht="18" customHeight="1" x14ac:dyDescent="0.25">
      <c r="B22" s="8" t="s">
        <v>241</v>
      </c>
      <c r="C22" s="19" t="s">
        <v>335</v>
      </c>
      <c r="D22" s="73">
        <f>'Gas Plant LCOE'!D21</f>
        <v>165.6268836119205</v>
      </c>
      <c r="E22" s="71">
        <f>'Gas Plant LCOE'!I21</f>
        <v>151.48180470767588</v>
      </c>
      <c r="F22" s="72">
        <f>'Offshore Wind LCOE'!D19</f>
        <v>190.72742433692062</v>
      </c>
      <c r="G22" s="48">
        <f>'BESS Duration Sensitivity'!E55</f>
        <v>231.27144658131886</v>
      </c>
      <c r="H22" s="48">
        <f>'BESS Duration Sensitivity'!E56</f>
        <v>237.38762435176398</v>
      </c>
      <c r="I22" s="48">
        <f>'BESS Duration Sensitivity'!E57</f>
        <v>243.50380212220904</v>
      </c>
      <c r="J22" s="132">
        <f>'BESS Duration Sensitivity'!E60</f>
        <v>249.61997989265407</v>
      </c>
      <c r="K22" s="132">
        <f>'BESS Duration Sensitivity'!E61</f>
        <v>258.79424654832172</v>
      </c>
      <c r="L22" s="132">
        <f>'BESS Duration Sensitivity'!E62</f>
        <v>267.9685132039894</v>
      </c>
      <c r="M22" s="126">
        <f>'BESS Duration Sensitivity'!E65</f>
        <v>267.9685132039894</v>
      </c>
      <c r="N22" s="126">
        <f>'BESS Duration Sensitivity'!E66</f>
        <v>280.20086874487953</v>
      </c>
      <c r="O22" s="126">
        <f>'BESS Duration Sensitivity'!E67</f>
        <v>292.43322428576971</v>
      </c>
      <c r="P22" s="133">
        <f>D22-G22</f>
        <v>-65.644562969398351</v>
      </c>
      <c r="Q22" s="133">
        <f>D22-H22</f>
        <v>-71.76074073984347</v>
      </c>
      <c r="R22" s="133">
        <f>D22-I22</f>
        <v>-77.876918510288533</v>
      </c>
      <c r="S22" s="134">
        <f>D22-J22</f>
        <v>-83.993096280733567</v>
      </c>
      <c r="T22" s="134">
        <f>D22-K22</f>
        <v>-93.167362936401219</v>
      </c>
      <c r="U22" s="134">
        <f>D22-L22</f>
        <v>-102.3416295920689</v>
      </c>
      <c r="V22" s="135">
        <f>D22-M22</f>
        <v>-102.3416295920689</v>
      </c>
      <c r="W22" s="135">
        <f>D22-N22</f>
        <v>-114.57398513295902</v>
      </c>
      <c r="X22" s="135">
        <f>D22-O22</f>
        <v>-126.80634067384921</v>
      </c>
    </row>
    <row r="23" spans="2:25" ht="18" customHeight="1" x14ac:dyDescent="0.25">
      <c r="B23" s="2" t="s">
        <v>241</v>
      </c>
      <c r="C23" s="17" t="s">
        <v>336</v>
      </c>
      <c r="D23" s="70">
        <f>'Gas Plant LCOE'!D22</f>
        <v>199.06504500765826</v>
      </c>
      <c r="E23" s="71">
        <f>'Gas Plant LCOE'!I22</f>
        <v>184.91996610341369</v>
      </c>
      <c r="F23" s="72">
        <f>'Offshore Wind LCOE'!D19</f>
        <v>190.72742433692062</v>
      </c>
      <c r="G23" s="48">
        <f>'BESS Duration Sensitivity'!E55</f>
        <v>231.27144658131886</v>
      </c>
      <c r="H23" s="48">
        <f>'BESS Duration Sensitivity'!E56</f>
        <v>237.38762435176398</v>
      </c>
      <c r="I23" s="48">
        <f>'BESS Duration Sensitivity'!E57</f>
        <v>243.50380212220904</v>
      </c>
      <c r="J23" s="132">
        <f>'BESS Duration Sensitivity'!E60</f>
        <v>249.61997989265407</v>
      </c>
      <c r="K23" s="132">
        <f>'BESS Duration Sensitivity'!E61</f>
        <v>258.79424654832172</v>
      </c>
      <c r="L23" s="132">
        <f>'BESS Duration Sensitivity'!E62</f>
        <v>267.9685132039894</v>
      </c>
      <c r="M23" s="126">
        <f>'BESS Duration Sensitivity'!E65</f>
        <v>267.9685132039894</v>
      </c>
      <c r="N23" s="126">
        <f>'BESS Duration Sensitivity'!E66</f>
        <v>280.20086874487953</v>
      </c>
      <c r="O23" s="126">
        <f>'BESS Duration Sensitivity'!E67</f>
        <v>292.43322428576971</v>
      </c>
      <c r="P23" s="133">
        <f>D23-G23</f>
        <v>-32.2064015736606</v>
      </c>
      <c r="Q23" s="133">
        <f>D23-H23</f>
        <v>-38.322579344105719</v>
      </c>
      <c r="R23" s="133">
        <f>D23-I23</f>
        <v>-44.438757114550782</v>
      </c>
      <c r="S23" s="134">
        <f>D23-J23</f>
        <v>-50.554934884995816</v>
      </c>
      <c r="T23" s="134">
        <f>D23-K23</f>
        <v>-59.729201540663468</v>
      </c>
      <c r="U23" s="134">
        <f>D23-L23</f>
        <v>-68.903468196331147</v>
      </c>
      <c r="V23" s="135">
        <f>D23-M23</f>
        <v>-68.903468196331147</v>
      </c>
      <c r="W23" s="135">
        <f>D23-N23</f>
        <v>-81.135823737221273</v>
      </c>
      <c r="X23" s="135">
        <f>D23-O23</f>
        <v>-93.368179278111455</v>
      </c>
    </row>
    <row r="24" spans="2:25" ht="18" customHeight="1" x14ac:dyDescent="0.25">
      <c r="B24" s="8" t="s">
        <v>241</v>
      </c>
      <c r="C24" s="19" t="s">
        <v>337</v>
      </c>
      <c r="D24" s="73">
        <f>'Gas Plant LCOE'!D23</f>
        <v>232.50320640339606</v>
      </c>
      <c r="E24" s="71">
        <f>'Gas Plant LCOE'!I23</f>
        <v>218.35812749915149</v>
      </c>
      <c r="F24" s="72">
        <f>'Offshore Wind LCOE'!D19</f>
        <v>190.72742433692062</v>
      </c>
      <c r="G24" s="48">
        <f>'BESS Duration Sensitivity'!E55</f>
        <v>231.27144658131886</v>
      </c>
      <c r="H24" s="48">
        <f>'BESS Duration Sensitivity'!E56</f>
        <v>237.38762435176398</v>
      </c>
      <c r="I24" s="48">
        <f>'BESS Duration Sensitivity'!E57</f>
        <v>243.50380212220904</v>
      </c>
      <c r="J24" s="132">
        <f>'BESS Duration Sensitivity'!E60</f>
        <v>249.61997989265407</v>
      </c>
      <c r="K24" s="132">
        <f>'BESS Duration Sensitivity'!E61</f>
        <v>258.79424654832172</v>
      </c>
      <c r="L24" s="132">
        <f>'BESS Duration Sensitivity'!E62</f>
        <v>267.9685132039894</v>
      </c>
      <c r="M24" s="126">
        <f>'BESS Duration Sensitivity'!E65</f>
        <v>267.9685132039894</v>
      </c>
      <c r="N24" s="126">
        <f>'BESS Duration Sensitivity'!E66</f>
        <v>280.20086874487953</v>
      </c>
      <c r="O24" s="126">
        <f>'BESS Duration Sensitivity'!E67</f>
        <v>292.43322428576971</v>
      </c>
      <c r="P24" s="133">
        <f>D24-G24</f>
        <v>1.2317598220772084</v>
      </c>
      <c r="Q24" s="133">
        <f>D24-H24</f>
        <v>-4.8844179483679113</v>
      </c>
      <c r="R24" s="133">
        <f>D24-I24</f>
        <v>-11.000595718812974</v>
      </c>
      <c r="S24" s="134">
        <f>D24-J24</f>
        <v>-17.116773489258009</v>
      </c>
      <c r="T24" s="134">
        <f>D24-K24</f>
        <v>-26.29104014492566</v>
      </c>
      <c r="U24" s="134">
        <f>D24-L24</f>
        <v>-35.465306800593339</v>
      </c>
      <c r="V24" s="135">
        <f>D24-M24</f>
        <v>-35.465306800593339</v>
      </c>
      <c r="W24" s="135">
        <f>D24-N24</f>
        <v>-47.697662341483465</v>
      </c>
      <c r="X24" s="135">
        <f>D24-O24</f>
        <v>-59.930017882373647</v>
      </c>
    </row>
    <row r="27" spans="2:25" ht="15" customHeight="1" x14ac:dyDescent="0.25">
      <c r="B27" s="152" t="s">
        <v>338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</row>
    <row r="30" spans="2:25" ht="19.5" customHeight="1" x14ac:dyDescent="0.25">
      <c r="B30" s="148" t="s">
        <v>339</v>
      </c>
      <c r="C30" s="148"/>
      <c r="D30" s="148"/>
      <c r="E30" s="148"/>
      <c r="F30" s="148"/>
      <c r="G30" s="148"/>
      <c r="H30" s="148"/>
      <c r="I30" s="148"/>
      <c r="J30" s="148"/>
      <c r="K30" s="148"/>
    </row>
    <row r="31" spans="2:25" ht="30" customHeight="1" x14ac:dyDescent="0.25">
      <c r="B31" s="53" t="s">
        <v>163</v>
      </c>
      <c r="C31" s="53" t="s">
        <v>4</v>
      </c>
      <c r="D31" s="53" t="s">
        <v>5</v>
      </c>
      <c r="E31" s="53" t="s">
        <v>249</v>
      </c>
      <c r="F31" s="53" t="s">
        <v>340</v>
      </c>
      <c r="G31" s="53" t="s">
        <v>341</v>
      </c>
      <c r="H31" s="53" t="s">
        <v>342</v>
      </c>
    </row>
    <row r="32" spans="2:25" ht="18" customHeight="1" x14ac:dyDescent="0.25">
      <c r="B32" s="2" t="s">
        <v>334</v>
      </c>
      <c r="C32" s="3">
        <f>'Gas Plant LCOE'!D8</f>
        <v>132.1887222161827</v>
      </c>
      <c r="D32" s="4">
        <f>'Gas Plant LCOE'!I8</f>
        <v>118.04364331193808</v>
      </c>
      <c r="E32" s="46">
        <f>'Offshore Wind LCOE'!D19</f>
        <v>190.72742433692062</v>
      </c>
      <c r="F32" s="48">
        <f>'BESS Duration Sensitivity'!E16</f>
        <v>237.38762430510371</v>
      </c>
      <c r="G32" s="132">
        <f>'BESS Duration Sensitivity'!E21</f>
        <v>258.79424648025486</v>
      </c>
      <c r="H32" s="126">
        <f>'BESS Duration Sensitivity'!E26</f>
        <v>280.20086865540611</v>
      </c>
    </row>
    <row r="33" spans="2:9" ht="18" customHeight="1" x14ac:dyDescent="0.25">
      <c r="B33" s="8" t="s">
        <v>335</v>
      </c>
      <c r="C33" s="9">
        <f>'Gas Plant LCOE'!D9</f>
        <v>165.62688361192053</v>
      </c>
      <c r="D33" s="4">
        <f>'Gas Plant LCOE'!I9</f>
        <v>151.48180470767588</v>
      </c>
      <c r="E33" s="46">
        <f>'Offshore Wind LCOE'!D19</f>
        <v>190.72742433692062</v>
      </c>
      <c r="F33" s="48">
        <f>'BESS Duration Sensitivity'!E16</f>
        <v>237.38762430510371</v>
      </c>
      <c r="G33" s="132">
        <f>'BESS Duration Sensitivity'!E21</f>
        <v>258.79424648025486</v>
      </c>
      <c r="H33" s="126">
        <f>'BESS Duration Sensitivity'!E26</f>
        <v>280.20086865540611</v>
      </c>
    </row>
    <row r="34" spans="2:9" ht="18" customHeight="1" x14ac:dyDescent="0.25">
      <c r="B34" s="2" t="s">
        <v>336</v>
      </c>
      <c r="C34" s="3">
        <f>'Gas Plant LCOE'!D10</f>
        <v>199.06504500765831</v>
      </c>
      <c r="D34" s="4">
        <f>'Gas Plant LCOE'!I10</f>
        <v>184.91996610341369</v>
      </c>
      <c r="E34" s="46">
        <f>'Offshore Wind LCOE'!D19</f>
        <v>190.72742433692062</v>
      </c>
      <c r="F34" s="48">
        <f>'BESS Duration Sensitivity'!E16</f>
        <v>237.38762430510371</v>
      </c>
      <c r="G34" s="132">
        <f>'BESS Duration Sensitivity'!E21</f>
        <v>258.79424648025486</v>
      </c>
      <c r="H34" s="126">
        <f>'BESS Duration Sensitivity'!E26</f>
        <v>280.20086865540611</v>
      </c>
    </row>
    <row r="35" spans="2:9" ht="18" customHeight="1" x14ac:dyDescent="0.25">
      <c r="B35" s="8" t="s">
        <v>337</v>
      </c>
      <c r="C35" s="9">
        <f>'Gas Plant LCOE'!D11</f>
        <v>232.50320640339609</v>
      </c>
      <c r="D35" s="4">
        <f>'Gas Plant LCOE'!I11</f>
        <v>218.35812749915146</v>
      </c>
      <c r="E35" s="46">
        <f>'Offshore Wind LCOE'!D19</f>
        <v>190.72742433692062</v>
      </c>
      <c r="F35" s="48">
        <f>'BESS Duration Sensitivity'!E16</f>
        <v>237.38762430510371</v>
      </c>
      <c r="G35" s="132">
        <f>'BESS Duration Sensitivity'!E21</f>
        <v>258.79424648025486</v>
      </c>
      <c r="H35" s="126">
        <f>'BESS Duration Sensitivity'!E26</f>
        <v>280.20086865540611</v>
      </c>
    </row>
    <row r="38" spans="2:9" ht="19.5" customHeight="1" x14ac:dyDescent="0.25">
      <c r="B38" s="153" t="s">
        <v>343</v>
      </c>
      <c r="C38" s="153"/>
      <c r="D38" s="153"/>
      <c r="E38" s="153"/>
      <c r="F38" s="153"/>
      <c r="G38" s="153"/>
      <c r="H38" s="153"/>
      <c r="I38" s="153"/>
    </row>
    <row r="39" spans="2:9" ht="27.75" customHeight="1" x14ac:dyDescent="0.25">
      <c r="B39" s="1" t="s">
        <v>344</v>
      </c>
      <c r="C39" s="1" t="s">
        <v>345</v>
      </c>
      <c r="D39" s="1" t="s">
        <v>346</v>
      </c>
      <c r="E39" s="1" t="s">
        <v>347</v>
      </c>
      <c r="F39" s="1" t="s">
        <v>348</v>
      </c>
      <c r="G39" s="1" t="s">
        <v>349</v>
      </c>
    </row>
    <row r="40" spans="2:9" ht="18" customHeight="1" x14ac:dyDescent="0.25">
      <c r="B40" s="45" t="s">
        <v>350</v>
      </c>
      <c r="C40" s="48">
        <f>'BESS Duration Sensitivity'!E15</f>
        <v>231.27144654077483</v>
      </c>
      <c r="D40" s="132">
        <f>'BESS Duration Sensitivity'!E20</f>
        <v>249.61997983376153</v>
      </c>
      <c r="E40" s="126">
        <f>'BESS Duration Sensitivity'!E25</f>
        <v>267.96851312674829</v>
      </c>
      <c r="F40" s="136">
        <f t="shared" ref="F40:G42" si="0">D40-C40</f>
        <v>18.348533292986701</v>
      </c>
      <c r="G40" s="137">
        <f t="shared" si="0"/>
        <v>18.348533292986758</v>
      </c>
    </row>
    <row r="41" spans="2:9" ht="18" customHeight="1" x14ac:dyDescent="0.25">
      <c r="B41" s="138" t="s">
        <v>351</v>
      </c>
      <c r="C41" s="48">
        <f>'BESS Duration Sensitivity'!E16</f>
        <v>237.38762430510371</v>
      </c>
      <c r="D41" s="132">
        <f>'BESS Duration Sensitivity'!E21</f>
        <v>258.79424648025486</v>
      </c>
      <c r="E41" s="126">
        <f>'BESS Duration Sensitivity'!E26</f>
        <v>280.20086865540611</v>
      </c>
      <c r="F41" s="136">
        <f t="shared" si="0"/>
        <v>21.406622175151142</v>
      </c>
      <c r="G41" s="137">
        <f t="shared" si="0"/>
        <v>21.406622175151256</v>
      </c>
    </row>
    <row r="42" spans="2:9" ht="18" customHeight="1" x14ac:dyDescent="0.25">
      <c r="B42" s="139" t="s">
        <v>352</v>
      </c>
      <c r="C42" s="48">
        <f>'BESS Duration Sensitivity'!E17</f>
        <v>243.50380206943265</v>
      </c>
      <c r="D42" s="132">
        <f>'BESS Duration Sensitivity'!E22</f>
        <v>267.96851312674829</v>
      </c>
      <c r="E42" s="126">
        <f>'BESS Duration Sensitivity'!E27</f>
        <v>292.43322418406387</v>
      </c>
      <c r="F42" s="136">
        <f t="shared" si="0"/>
        <v>24.46471105731564</v>
      </c>
      <c r="G42" s="137">
        <f t="shared" si="0"/>
        <v>24.464711057315583</v>
      </c>
    </row>
    <row r="78" spans="2:15" ht="19.5" customHeight="1" x14ac:dyDescent="0.25">
      <c r="B78" s="153" t="s">
        <v>353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3"/>
    </row>
    <row r="79" spans="2:15" ht="31.5" customHeight="1" x14ac:dyDescent="0.25">
      <c r="B79" s="156" t="s">
        <v>354</v>
      </c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</row>
    <row r="80" spans="2:15" ht="31.5" customHeight="1" x14ac:dyDescent="0.25">
      <c r="B80" s="1" t="s">
        <v>355</v>
      </c>
      <c r="C80" s="1" t="s">
        <v>356</v>
      </c>
      <c r="D80" s="1" t="s">
        <v>357</v>
      </c>
      <c r="E80" s="1" t="s">
        <v>358</v>
      </c>
      <c r="F80" s="1" t="s">
        <v>359</v>
      </c>
      <c r="G80" s="1" t="s">
        <v>360</v>
      </c>
      <c r="H80" s="1" t="s">
        <v>361</v>
      </c>
      <c r="I80" s="1" t="s">
        <v>362</v>
      </c>
      <c r="J80" s="1" t="s">
        <v>363</v>
      </c>
      <c r="K80" s="1" t="s">
        <v>364</v>
      </c>
      <c r="L80" s="1" t="s">
        <v>365</v>
      </c>
      <c r="M80" s="1" t="s">
        <v>366</v>
      </c>
    </row>
    <row r="81" spans="2:24" ht="18" customHeight="1" x14ac:dyDescent="0.25">
      <c r="B81" s="140" t="s">
        <v>367</v>
      </c>
      <c r="C81" s="141">
        <v>25</v>
      </c>
      <c r="D81" s="141">
        <v>30.39</v>
      </c>
      <c r="E81" s="141">
        <v>38.78</v>
      </c>
      <c r="F81" s="141">
        <v>49.5</v>
      </c>
      <c r="G81" s="141">
        <v>63.17</v>
      </c>
      <c r="H81" s="141">
        <v>80.63</v>
      </c>
      <c r="I81" s="141">
        <v>102.9</v>
      </c>
      <c r="J81" s="141">
        <v>131.33000000000001</v>
      </c>
      <c r="K81" s="141">
        <v>167.62</v>
      </c>
      <c r="L81" s="142">
        <v>23.28</v>
      </c>
      <c r="M81" s="142">
        <v>61.76</v>
      </c>
    </row>
    <row r="83" spans="2:24" ht="19.5" customHeight="1" x14ac:dyDescent="0.25">
      <c r="B83" s="157" t="s">
        <v>368</v>
      </c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</row>
    <row r="84" spans="2:24" ht="21.75" customHeight="1" x14ac:dyDescent="0.25">
      <c r="D84" s="154" t="s">
        <v>369</v>
      </c>
      <c r="E84" s="154"/>
      <c r="F84" s="128" t="s">
        <v>6</v>
      </c>
      <c r="G84" s="155" t="s">
        <v>322</v>
      </c>
      <c r="H84" s="155"/>
      <c r="I84" s="155"/>
      <c r="J84" s="150" t="s">
        <v>323</v>
      </c>
      <c r="K84" s="150"/>
      <c r="L84" s="150"/>
      <c r="M84" s="151" t="s">
        <v>324</v>
      </c>
      <c r="N84" s="151"/>
      <c r="O84" s="151"/>
      <c r="P84" s="155" t="s">
        <v>325</v>
      </c>
      <c r="Q84" s="155"/>
      <c r="R84" s="155"/>
      <c r="S84" s="150" t="s">
        <v>326</v>
      </c>
      <c r="T84" s="150"/>
      <c r="U84" s="150"/>
      <c r="V84" s="151" t="s">
        <v>327</v>
      </c>
      <c r="W84" s="151"/>
      <c r="X84" s="151"/>
    </row>
    <row r="85" spans="2:24" ht="31.5" customHeight="1" x14ac:dyDescent="0.25">
      <c r="B85" s="1" t="s">
        <v>230</v>
      </c>
      <c r="C85" s="1" t="s">
        <v>3</v>
      </c>
      <c r="D85" s="1" t="s">
        <v>4</v>
      </c>
      <c r="E85" s="1" t="s">
        <v>5</v>
      </c>
      <c r="F85" s="1" t="s">
        <v>6</v>
      </c>
      <c r="G85" s="129" t="s">
        <v>328</v>
      </c>
      <c r="H85" s="129" t="s">
        <v>329</v>
      </c>
      <c r="I85" s="129" t="s">
        <v>330</v>
      </c>
      <c r="J85" s="130" t="s">
        <v>328</v>
      </c>
      <c r="K85" s="130" t="s">
        <v>329</v>
      </c>
      <c r="L85" s="130" t="s">
        <v>330</v>
      </c>
      <c r="M85" s="131" t="s">
        <v>328</v>
      </c>
      <c r="N85" s="131" t="s">
        <v>329</v>
      </c>
      <c r="O85" s="131" t="s">
        <v>330</v>
      </c>
      <c r="P85" s="129" t="s">
        <v>331</v>
      </c>
      <c r="Q85" s="129" t="s">
        <v>332</v>
      </c>
      <c r="R85" s="129" t="s">
        <v>333</v>
      </c>
      <c r="S85" s="130" t="s">
        <v>331</v>
      </c>
      <c r="T85" s="130" t="s">
        <v>332</v>
      </c>
      <c r="U85" s="130" t="s">
        <v>333</v>
      </c>
      <c r="V85" s="131" t="s">
        <v>331</v>
      </c>
      <c r="W85" s="131" t="s">
        <v>332</v>
      </c>
      <c r="X85" s="131" t="s">
        <v>333</v>
      </c>
    </row>
    <row r="86" spans="2:24" ht="18" customHeight="1" x14ac:dyDescent="0.25">
      <c r="B86" s="69" t="s">
        <v>239</v>
      </c>
      <c r="C86" s="17" t="s">
        <v>334</v>
      </c>
      <c r="D86" s="70">
        <f>'Gas Plant LCOE'!F8</f>
        <v>125.46611812710941</v>
      </c>
      <c r="E86" s="71">
        <f>'Gas Plant LCOE'!K8</f>
        <v>107.18993102027339</v>
      </c>
      <c r="F86" s="72">
        <f>'Offshore Wind LCOE'!G19</f>
        <v>167.13358956399773</v>
      </c>
      <c r="G86" s="48">
        <f>'BESS Duration Sensitivity'!G15</f>
        <v>207.01687464856352</v>
      </c>
      <c r="H86" s="48">
        <f>'BESS Duration Sensitivity'!G16</f>
        <v>212.05263833998706</v>
      </c>
      <c r="I86" s="48">
        <f>'BESS Duration Sensitivity'!G17</f>
        <v>217.08840203141057</v>
      </c>
      <c r="J86" s="132">
        <f>'BESS Duration Sensitivity'!G20</f>
        <v>222.12416572283416</v>
      </c>
      <c r="K86" s="132">
        <f>'BESS Duration Sensitivity'!G21</f>
        <v>229.67781125996947</v>
      </c>
      <c r="L86" s="132">
        <f>'BESS Duration Sensitivity'!G22</f>
        <v>237.23145679710481</v>
      </c>
      <c r="M86" s="126">
        <f>'BESS Duration Sensitivity'!G25</f>
        <v>237.23145679710481</v>
      </c>
      <c r="N86" s="126">
        <f>'BESS Duration Sensitivity'!G26</f>
        <v>247.30298417995189</v>
      </c>
      <c r="O86" s="126">
        <f>'BESS Duration Sensitivity'!G27</f>
        <v>257.374511562799</v>
      </c>
      <c r="P86" s="133">
        <f>D86-G86</f>
        <v>-81.550756521454105</v>
      </c>
      <c r="Q86" s="133">
        <f>D86-H86</f>
        <v>-86.586520212877645</v>
      </c>
      <c r="R86" s="133">
        <f>D86-I86</f>
        <v>-91.622283904301156</v>
      </c>
      <c r="S86" s="134">
        <f>D86-J86</f>
        <v>-96.658047595724753</v>
      </c>
      <c r="T86" s="134">
        <f>D86-K86</f>
        <v>-104.21169313286006</v>
      </c>
      <c r="U86" s="134">
        <f>D86-L86</f>
        <v>-111.7653386699954</v>
      </c>
      <c r="V86" s="135">
        <f>D86-M86</f>
        <v>-111.7653386699954</v>
      </c>
      <c r="W86" s="135">
        <f>D86-N86</f>
        <v>-121.83686605284248</v>
      </c>
      <c r="X86" s="135">
        <f>D86-O86</f>
        <v>-131.90839343568959</v>
      </c>
    </row>
    <row r="87" spans="2:24" ht="18" customHeight="1" x14ac:dyDescent="0.25">
      <c r="B87" s="8" t="s">
        <v>239</v>
      </c>
      <c r="C87" s="19" t="s">
        <v>335</v>
      </c>
      <c r="D87" s="73">
        <f>'Gas Plant LCOE'!F9</f>
        <v>161.77467529579837</v>
      </c>
      <c r="E87" s="71">
        <f>'Gas Plant LCOE'!K9</f>
        <v>143.49848818896234</v>
      </c>
      <c r="F87" s="72">
        <f>'Offshore Wind LCOE'!G19</f>
        <v>167.13358956399773</v>
      </c>
      <c r="G87" s="48">
        <f>'BESS Duration Sensitivity'!G15</f>
        <v>207.01687464856352</v>
      </c>
      <c r="H87" s="48">
        <f>'BESS Duration Sensitivity'!G16</f>
        <v>212.05263833998706</v>
      </c>
      <c r="I87" s="48">
        <f>'BESS Duration Sensitivity'!G17</f>
        <v>217.08840203141057</v>
      </c>
      <c r="J87" s="132">
        <f>'BESS Duration Sensitivity'!G20</f>
        <v>222.12416572283416</v>
      </c>
      <c r="K87" s="132">
        <f>'BESS Duration Sensitivity'!G21</f>
        <v>229.67781125996947</v>
      </c>
      <c r="L87" s="132">
        <f>'BESS Duration Sensitivity'!G22</f>
        <v>237.23145679710481</v>
      </c>
      <c r="M87" s="126">
        <f>'BESS Duration Sensitivity'!G25</f>
        <v>237.23145679710481</v>
      </c>
      <c r="N87" s="126">
        <f>'BESS Duration Sensitivity'!G26</f>
        <v>247.30298417995189</v>
      </c>
      <c r="O87" s="126">
        <f>'BESS Duration Sensitivity'!G27</f>
        <v>257.374511562799</v>
      </c>
      <c r="P87" s="133">
        <f>D87-G87</f>
        <v>-45.242199352765141</v>
      </c>
      <c r="Q87" s="133">
        <f>D87-H87</f>
        <v>-50.277963044188681</v>
      </c>
      <c r="R87" s="133">
        <f>D87-I87</f>
        <v>-55.313726735612192</v>
      </c>
      <c r="S87" s="134">
        <f>D87-J87</f>
        <v>-60.349490427035789</v>
      </c>
      <c r="T87" s="134">
        <f>D87-K87</f>
        <v>-67.903135964171099</v>
      </c>
      <c r="U87" s="134">
        <f>D87-L87</f>
        <v>-75.456781501306438</v>
      </c>
      <c r="V87" s="135">
        <f>D87-M87</f>
        <v>-75.456781501306438</v>
      </c>
      <c r="W87" s="135">
        <f>D87-N87</f>
        <v>-85.528308884153518</v>
      </c>
      <c r="X87" s="135">
        <f>D87-O87</f>
        <v>-95.599836267000626</v>
      </c>
    </row>
    <row r="88" spans="2:24" ht="18" customHeight="1" x14ac:dyDescent="0.25">
      <c r="B88" s="2" t="s">
        <v>239</v>
      </c>
      <c r="C88" s="17" t="s">
        <v>336</v>
      </c>
      <c r="D88" s="70">
        <f>'Gas Plant LCOE'!F10</f>
        <v>198.08323246448734</v>
      </c>
      <c r="E88" s="71">
        <f>'Gas Plant LCOE'!K10</f>
        <v>179.80704535765133</v>
      </c>
      <c r="F88" s="72">
        <f>'Offshore Wind LCOE'!G19</f>
        <v>167.13358956399773</v>
      </c>
      <c r="G88" s="48">
        <f>'BESS Duration Sensitivity'!G15</f>
        <v>207.01687464856352</v>
      </c>
      <c r="H88" s="48">
        <f>'BESS Duration Sensitivity'!G16</f>
        <v>212.05263833998706</v>
      </c>
      <c r="I88" s="48">
        <f>'BESS Duration Sensitivity'!G17</f>
        <v>217.08840203141057</v>
      </c>
      <c r="J88" s="132">
        <f>'BESS Duration Sensitivity'!G20</f>
        <v>222.12416572283416</v>
      </c>
      <c r="K88" s="132">
        <f>'BESS Duration Sensitivity'!G21</f>
        <v>229.67781125996947</v>
      </c>
      <c r="L88" s="132">
        <f>'BESS Duration Sensitivity'!G22</f>
        <v>237.23145679710481</v>
      </c>
      <c r="M88" s="126">
        <f>'BESS Duration Sensitivity'!G25</f>
        <v>237.23145679710481</v>
      </c>
      <c r="N88" s="126">
        <f>'BESS Duration Sensitivity'!G26</f>
        <v>247.30298417995189</v>
      </c>
      <c r="O88" s="126">
        <f>'BESS Duration Sensitivity'!G27</f>
        <v>257.374511562799</v>
      </c>
      <c r="P88" s="133">
        <f>D88-G88</f>
        <v>-8.9336421840761773</v>
      </c>
      <c r="Q88" s="133">
        <f>D88-H88</f>
        <v>-13.969405875499717</v>
      </c>
      <c r="R88" s="133">
        <f>D88-I88</f>
        <v>-19.005169566923229</v>
      </c>
      <c r="S88" s="134">
        <f>D88-J88</f>
        <v>-24.040933258346826</v>
      </c>
      <c r="T88" s="134">
        <f>D88-K88</f>
        <v>-31.594578795482136</v>
      </c>
      <c r="U88" s="134">
        <f>D88-L88</f>
        <v>-39.148224332617474</v>
      </c>
      <c r="V88" s="135">
        <f>D88-M88</f>
        <v>-39.148224332617474</v>
      </c>
      <c r="W88" s="135">
        <f>D88-N88</f>
        <v>-49.219751715464554</v>
      </c>
      <c r="X88" s="135">
        <f>D88-O88</f>
        <v>-59.291279098311662</v>
      </c>
    </row>
    <row r="89" spans="2:24" ht="18" customHeight="1" x14ac:dyDescent="0.25">
      <c r="B89" s="8" t="s">
        <v>239</v>
      </c>
      <c r="C89" s="19" t="s">
        <v>337</v>
      </c>
      <c r="D89" s="73">
        <f>'Gas Plant LCOE'!F11</f>
        <v>234.39178963317633</v>
      </c>
      <c r="E89" s="71">
        <f>'Gas Plant LCOE'!K11</f>
        <v>216.1156025263403</v>
      </c>
      <c r="F89" s="72">
        <f>'Offshore Wind LCOE'!G19</f>
        <v>167.13358956399773</v>
      </c>
      <c r="G89" s="48">
        <f>'BESS Duration Sensitivity'!G15</f>
        <v>207.01687464856352</v>
      </c>
      <c r="H89" s="48">
        <f>'BESS Duration Sensitivity'!G16</f>
        <v>212.05263833998706</v>
      </c>
      <c r="I89" s="48">
        <f>'BESS Duration Sensitivity'!G17</f>
        <v>217.08840203141057</v>
      </c>
      <c r="J89" s="132">
        <f>'BESS Duration Sensitivity'!G20</f>
        <v>222.12416572283416</v>
      </c>
      <c r="K89" s="132">
        <f>'BESS Duration Sensitivity'!G21</f>
        <v>229.67781125996947</v>
      </c>
      <c r="L89" s="132">
        <f>'BESS Duration Sensitivity'!G22</f>
        <v>237.23145679710481</v>
      </c>
      <c r="M89" s="126">
        <f>'BESS Duration Sensitivity'!G25</f>
        <v>237.23145679710481</v>
      </c>
      <c r="N89" s="126">
        <f>'BESS Duration Sensitivity'!G26</f>
        <v>247.30298417995189</v>
      </c>
      <c r="O89" s="126">
        <f>'BESS Duration Sensitivity'!G27</f>
        <v>257.374511562799</v>
      </c>
      <c r="P89" s="133">
        <f>D89-G89</f>
        <v>27.374914984612815</v>
      </c>
      <c r="Q89" s="133">
        <f>D89-H89</f>
        <v>22.339151293189275</v>
      </c>
      <c r="R89" s="133">
        <f>D89-I89</f>
        <v>17.303387601765763</v>
      </c>
      <c r="S89" s="134">
        <f>D89-J89</f>
        <v>12.267623910342166</v>
      </c>
      <c r="T89" s="134">
        <f>D89-K89</f>
        <v>4.7139783732068565</v>
      </c>
      <c r="U89" s="134">
        <f>D89-L89</f>
        <v>-2.8396671639284818</v>
      </c>
      <c r="V89" s="135">
        <f>D89-M89</f>
        <v>-2.8396671639284818</v>
      </c>
      <c r="W89" s="135">
        <f>D89-N89</f>
        <v>-12.911194546775562</v>
      </c>
      <c r="X89" s="135">
        <f>D89-O89</f>
        <v>-22.98272192962267</v>
      </c>
    </row>
    <row r="90" spans="2:24" ht="15.75" customHeight="1" x14ac:dyDescent="0.25">
      <c r="B90" s="152" t="s">
        <v>370</v>
      </c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</row>
    <row r="92" spans="2:24" ht="19.5" customHeight="1" x14ac:dyDescent="0.25">
      <c r="B92" s="148" t="s">
        <v>371</v>
      </c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</row>
    <row r="93" spans="2:24" ht="36" customHeight="1" x14ac:dyDescent="0.25">
      <c r="B93" s="53" t="s">
        <v>3</v>
      </c>
      <c r="C93" s="53" t="s">
        <v>372</v>
      </c>
      <c r="D93" s="53" t="s">
        <v>373</v>
      </c>
      <c r="E93" s="53" t="s">
        <v>374</v>
      </c>
      <c r="F93" s="40" t="s">
        <v>375</v>
      </c>
      <c r="G93" s="40" t="s">
        <v>376</v>
      </c>
      <c r="H93" s="40" t="s">
        <v>377</v>
      </c>
      <c r="I93" s="40" t="s">
        <v>378</v>
      </c>
      <c r="J93" s="143" t="s">
        <v>379</v>
      </c>
      <c r="K93" s="143" t="s">
        <v>380</v>
      </c>
      <c r="L93" s="144" t="s">
        <v>381</v>
      </c>
      <c r="M93" s="144" t="s">
        <v>382</v>
      </c>
      <c r="N93" s="53" t="s">
        <v>383</v>
      </c>
    </row>
    <row r="94" spans="2:24" ht="18" customHeight="1" x14ac:dyDescent="0.25">
      <c r="B94" s="12" t="s">
        <v>334</v>
      </c>
      <c r="C94" s="70">
        <f>'Gas Plant LCOE'!C8</f>
        <v>156.91648774000271</v>
      </c>
      <c r="D94" s="70">
        <f>'Gas Plant LCOE'!D8</f>
        <v>132.1887222161827</v>
      </c>
      <c r="E94" s="70">
        <f>'Gas Plant LCOE'!E8</f>
        <v>126.11331346369846</v>
      </c>
      <c r="F94" s="70">
        <f>'Gas Plant LCOE'!F8</f>
        <v>125.46611812710941</v>
      </c>
      <c r="G94" s="48">
        <f>'BESS Duration Sensitivity'!D16</f>
        <v>324.99986496355785</v>
      </c>
      <c r="H94" s="48">
        <f>'BESS Duration Sensitivity'!E16</f>
        <v>237.38762430510371</v>
      </c>
      <c r="I94" s="48">
        <f>'BESS Duration Sensitivity'!F16</f>
        <v>220.36723337828494</v>
      </c>
      <c r="J94" s="48">
        <f>'BESS Duration Sensitivity'!G16</f>
        <v>212.05263833998706</v>
      </c>
      <c r="K94" s="132">
        <f>'BESS Duration Sensitivity'!E21</f>
        <v>258.79424648025486</v>
      </c>
      <c r="L94" s="132">
        <f>'BESS Duration Sensitivity'!G21</f>
        <v>229.67781125996947</v>
      </c>
      <c r="M94" s="126">
        <f>'BESS Duration Sensitivity'!E26</f>
        <v>280.20086865540611</v>
      </c>
      <c r="N94" s="126">
        <f>'BESS Duration Sensitivity'!G26</f>
        <v>247.30298417995189</v>
      </c>
    </row>
    <row r="95" spans="2:24" ht="18" customHeight="1" x14ac:dyDescent="0.25">
      <c r="B95" s="145" t="s">
        <v>335</v>
      </c>
      <c r="C95" s="73">
        <f>'Gas Plant LCOE'!C9</f>
        <v>188.18681448488482</v>
      </c>
      <c r="D95" s="73">
        <f>'Gas Plant LCOE'!D9</f>
        <v>165.62688361192053</v>
      </c>
      <c r="E95" s="73">
        <f>'Gas Plant LCOE'!E9</f>
        <v>161.2174717334432</v>
      </c>
      <c r="F95" s="73">
        <f>'Gas Plant LCOE'!F9</f>
        <v>161.77467529579837</v>
      </c>
      <c r="G95" s="48">
        <f>'BESS Duration Sensitivity'!D16</f>
        <v>324.99986496355785</v>
      </c>
      <c r="H95" s="48">
        <f>'BESS Duration Sensitivity'!E16</f>
        <v>237.38762430510371</v>
      </c>
      <c r="I95" s="48">
        <f>'BESS Duration Sensitivity'!F16</f>
        <v>220.36723337828494</v>
      </c>
      <c r="J95" s="48">
        <f>'BESS Duration Sensitivity'!G16</f>
        <v>212.05263833998706</v>
      </c>
      <c r="K95" s="132">
        <f>'BESS Duration Sensitivity'!E21</f>
        <v>258.79424648025486</v>
      </c>
      <c r="L95" s="132">
        <f>'BESS Duration Sensitivity'!G21</f>
        <v>229.67781125996947</v>
      </c>
      <c r="M95" s="126">
        <f>'BESS Duration Sensitivity'!E26</f>
        <v>280.20086865540611</v>
      </c>
      <c r="N95" s="126">
        <f>'BESS Duration Sensitivity'!G26</f>
        <v>247.30298417995189</v>
      </c>
    </row>
    <row r="96" spans="2:24" ht="18" customHeight="1" x14ac:dyDescent="0.25">
      <c r="B96" s="146" t="s">
        <v>336</v>
      </c>
      <c r="C96" s="70">
        <f>'Gas Plant LCOE'!C10</f>
        <v>219.45714122976699</v>
      </c>
      <c r="D96" s="70">
        <f>'Gas Plant LCOE'!D10</f>
        <v>199.06504500765831</v>
      </c>
      <c r="E96" s="70">
        <f>'Gas Plant LCOE'!E10</f>
        <v>196.32163000318795</v>
      </c>
      <c r="F96" s="70">
        <f>'Gas Plant LCOE'!F10</f>
        <v>198.08323246448734</v>
      </c>
      <c r="G96" s="48">
        <f>'BESS Duration Sensitivity'!D16</f>
        <v>324.99986496355785</v>
      </c>
      <c r="H96" s="48">
        <f>'BESS Duration Sensitivity'!E16</f>
        <v>237.38762430510371</v>
      </c>
      <c r="I96" s="48">
        <f>'BESS Duration Sensitivity'!F16</f>
        <v>220.36723337828494</v>
      </c>
      <c r="J96" s="48">
        <f>'BESS Duration Sensitivity'!G16</f>
        <v>212.05263833998706</v>
      </c>
      <c r="K96" s="132">
        <f>'BESS Duration Sensitivity'!E21</f>
        <v>258.79424648025486</v>
      </c>
      <c r="L96" s="132">
        <f>'BESS Duration Sensitivity'!G21</f>
        <v>229.67781125996947</v>
      </c>
      <c r="M96" s="126">
        <f>'BESS Duration Sensitivity'!E26</f>
        <v>280.20086865540611</v>
      </c>
      <c r="N96" s="126">
        <f>'BESS Duration Sensitivity'!G26</f>
        <v>247.30298417995189</v>
      </c>
    </row>
    <row r="97" spans="2:14" ht="18" customHeight="1" x14ac:dyDescent="0.25">
      <c r="B97" s="147" t="s">
        <v>337</v>
      </c>
      <c r="C97" s="73">
        <f>'Gas Plant LCOE'!C11</f>
        <v>250.72746797464913</v>
      </c>
      <c r="D97" s="73">
        <f>'Gas Plant LCOE'!D11</f>
        <v>232.50320640339609</v>
      </c>
      <c r="E97" s="73">
        <f>'Gas Plant LCOE'!E11</f>
        <v>231.42578827293266</v>
      </c>
      <c r="F97" s="73">
        <f>'Gas Plant LCOE'!F11</f>
        <v>234.39178963317633</v>
      </c>
      <c r="G97" s="48">
        <f>'BESS Duration Sensitivity'!D16</f>
        <v>324.99986496355785</v>
      </c>
      <c r="H97" s="48">
        <f>'BESS Duration Sensitivity'!E16</f>
        <v>237.38762430510371</v>
      </c>
      <c r="I97" s="48">
        <f>'BESS Duration Sensitivity'!F16</f>
        <v>220.36723337828494</v>
      </c>
      <c r="J97" s="48">
        <f>'BESS Duration Sensitivity'!G16</f>
        <v>212.05263833998706</v>
      </c>
      <c r="K97" s="132">
        <f>'BESS Duration Sensitivity'!E21</f>
        <v>258.79424648025486</v>
      </c>
      <c r="L97" s="132">
        <f>'BESS Duration Sensitivity'!G21</f>
        <v>229.67781125996947</v>
      </c>
      <c r="M97" s="126">
        <f>'BESS Duration Sensitivity'!E26</f>
        <v>280.20086865540611</v>
      </c>
      <c r="N97" s="126">
        <f>'BESS Duration Sensitivity'!G26</f>
        <v>247.30298417995189</v>
      </c>
    </row>
    <row r="100" spans="2:14" ht="19.5" customHeight="1" x14ac:dyDescent="0.25">
      <c r="B100" s="153" t="s">
        <v>384</v>
      </c>
      <c r="C100" s="153"/>
      <c r="D100" s="153"/>
      <c r="E100" s="153"/>
      <c r="F100" s="153"/>
      <c r="G100" s="153"/>
      <c r="H100" s="153"/>
      <c r="I100" s="153"/>
      <c r="J100" s="153"/>
    </row>
    <row r="101" spans="2:14" ht="31.5" customHeight="1" x14ac:dyDescent="0.25">
      <c r="B101" s="1" t="s">
        <v>344</v>
      </c>
      <c r="C101" s="1" t="s">
        <v>385</v>
      </c>
      <c r="D101" s="1" t="s">
        <v>386</v>
      </c>
      <c r="E101" s="1" t="s">
        <v>387</v>
      </c>
      <c r="F101" s="1" t="s">
        <v>348</v>
      </c>
      <c r="G101" s="1" t="s">
        <v>349</v>
      </c>
    </row>
    <row r="102" spans="2:14" ht="18" customHeight="1" x14ac:dyDescent="0.25">
      <c r="B102" s="45" t="s">
        <v>388</v>
      </c>
      <c r="C102" s="48">
        <f>'BESS Duration Sensitivity'!G15</f>
        <v>207.01687464856352</v>
      </c>
      <c r="D102" s="132">
        <f>'BESS Duration Sensitivity'!G20</f>
        <v>222.12416572283416</v>
      </c>
      <c r="E102" s="126">
        <f>'BESS Duration Sensitivity'!G25</f>
        <v>237.23145679710481</v>
      </c>
      <c r="F102" s="136">
        <f t="shared" ref="F102:G104" si="1">D102-C102</f>
        <v>15.107291074270648</v>
      </c>
      <c r="G102" s="137">
        <f t="shared" si="1"/>
        <v>15.107291074270648</v>
      </c>
    </row>
    <row r="103" spans="2:14" ht="18" customHeight="1" x14ac:dyDescent="0.25">
      <c r="B103" s="138" t="s">
        <v>389</v>
      </c>
      <c r="C103" s="48">
        <f>'BESS Duration Sensitivity'!G16</f>
        <v>212.05263833998706</v>
      </c>
      <c r="D103" s="132">
        <f>'BESS Duration Sensitivity'!G21</f>
        <v>229.67781125996947</v>
      </c>
      <c r="E103" s="126">
        <f>'BESS Duration Sensitivity'!G26</f>
        <v>247.30298417995189</v>
      </c>
      <c r="F103" s="136">
        <f t="shared" si="1"/>
        <v>17.625172919982418</v>
      </c>
      <c r="G103" s="137">
        <f t="shared" si="1"/>
        <v>17.625172919982418</v>
      </c>
    </row>
    <row r="104" spans="2:14" ht="18" customHeight="1" x14ac:dyDescent="0.25">
      <c r="B104" s="139" t="s">
        <v>352</v>
      </c>
      <c r="C104" s="48">
        <f>'BESS Duration Sensitivity'!G17</f>
        <v>217.08840203141057</v>
      </c>
      <c r="D104" s="132">
        <f>'BESS Duration Sensitivity'!G22</f>
        <v>237.23145679710481</v>
      </c>
      <c r="E104" s="126">
        <f>'BESS Duration Sensitivity'!G27</f>
        <v>257.374511562799</v>
      </c>
      <c r="F104" s="136">
        <f t="shared" si="1"/>
        <v>20.143054765694245</v>
      </c>
      <c r="G104" s="137">
        <f t="shared" si="1"/>
        <v>20.143054765694188</v>
      </c>
    </row>
    <row r="107" spans="2:14" ht="19.5" customHeight="1" x14ac:dyDescent="0.25">
      <c r="B107" s="148" t="s">
        <v>390</v>
      </c>
      <c r="C107" s="148"/>
      <c r="D107" s="148"/>
      <c r="E107" s="148"/>
      <c r="F107" s="148"/>
      <c r="G107" s="148"/>
      <c r="H107" s="148"/>
      <c r="I107" s="148"/>
      <c r="J107" s="148"/>
      <c r="K107" s="148"/>
    </row>
    <row r="108" spans="2:14" ht="31.5" customHeight="1" x14ac:dyDescent="0.25">
      <c r="B108" s="53" t="s">
        <v>163</v>
      </c>
      <c r="C108" s="53" t="s">
        <v>4</v>
      </c>
      <c r="D108" s="53" t="s">
        <v>5</v>
      </c>
      <c r="E108" s="53" t="s">
        <v>249</v>
      </c>
      <c r="F108" s="53" t="s">
        <v>340</v>
      </c>
      <c r="G108" s="53" t="s">
        <v>341</v>
      </c>
      <c r="H108" s="53" t="s">
        <v>342</v>
      </c>
    </row>
    <row r="109" spans="2:14" ht="18" customHeight="1" x14ac:dyDescent="0.25">
      <c r="B109" s="2" t="s">
        <v>334</v>
      </c>
      <c r="C109" s="3">
        <f>'Gas Plant LCOE'!F8</f>
        <v>125.46611812710941</v>
      </c>
      <c r="D109" s="4">
        <f>'Gas Plant LCOE'!K8</f>
        <v>107.18993102027339</v>
      </c>
      <c r="E109" s="46">
        <f>'Offshore Wind LCOE'!G19</f>
        <v>167.13358956399773</v>
      </c>
      <c r="F109" s="48">
        <f>'BESS Duration Sensitivity'!G16</f>
        <v>212.05263833998706</v>
      </c>
      <c r="G109" s="132">
        <f>'BESS Duration Sensitivity'!G21</f>
        <v>229.67781125996947</v>
      </c>
      <c r="H109" s="126">
        <f>'BESS Duration Sensitivity'!G26</f>
        <v>247.30298417995189</v>
      </c>
    </row>
    <row r="110" spans="2:14" ht="18" customHeight="1" x14ac:dyDescent="0.25">
      <c r="B110" s="8" t="s">
        <v>335</v>
      </c>
      <c r="C110" s="9">
        <f>'Gas Plant LCOE'!F9</f>
        <v>161.77467529579837</v>
      </c>
      <c r="D110" s="4">
        <f>'Gas Plant LCOE'!K9</f>
        <v>143.49848818896234</v>
      </c>
      <c r="E110" s="46">
        <f>'Offshore Wind LCOE'!G19</f>
        <v>167.13358956399773</v>
      </c>
      <c r="F110" s="48">
        <f>'BESS Duration Sensitivity'!G16</f>
        <v>212.05263833998706</v>
      </c>
      <c r="G110" s="132">
        <f>'BESS Duration Sensitivity'!G21</f>
        <v>229.67781125996947</v>
      </c>
      <c r="H110" s="126">
        <f>'BESS Duration Sensitivity'!G26</f>
        <v>247.30298417995189</v>
      </c>
    </row>
    <row r="111" spans="2:14" ht="18" customHeight="1" x14ac:dyDescent="0.25">
      <c r="B111" s="2" t="s">
        <v>336</v>
      </c>
      <c r="C111" s="3">
        <f>'Gas Plant LCOE'!F10</f>
        <v>198.08323246448734</v>
      </c>
      <c r="D111" s="4">
        <f>'Gas Plant LCOE'!K10</f>
        <v>179.80704535765133</v>
      </c>
      <c r="E111" s="46">
        <f>'Offshore Wind LCOE'!G19</f>
        <v>167.13358956399773</v>
      </c>
      <c r="F111" s="48">
        <f>'BESS Duration Sensitivity'!G16</f>
        <v>212.05263833998706</v>
      </c>
      <c r="G111" s="132">
        <f>'BESS Duration Sensitivity'!G21</f>
        <v>229.67781125996947</v>
      </c>
      <c r="H111" s="126">
        <f>'BESS Duration Sensitivity'!G26</f>
        <v>247.30298417995189</v>
      </c>
    </row>
    <row r="112" spans="2:14" ht="18" customHeight="1" x14ac:dyDescent="0.25">
      <c r="B112" s="8" t="s">
        <v>337</v>
      </c>
      <c r="C112" s="9">
        <f>'Gas Plant LCOE'!F11</f>
        <v>234.39178963317633</v>
      </c>
      <c r="D112" s="4">
        <f>'Gas Plant LCOE'!K11</f>
        <v>216.1156025263403</v>
      </c>
      <c r="E112" s="46">
        <f>'Offshore Wind LCOE'!G19</f>
        <v>167.13358956399773</v>
      </c>
      <c r="F112" s="48">
        <f>'BESS Duration Sensitivity'!G16</f>
        <v>212.05263833998706</v>
      </c>
      <c r="G112" s="132">
        <f>'BESS Duration Sensitivity'!G21</f>
        <v>229.67781125996947</v>
      </c>
      <c r="H112" s="126">
        <f>'BESS Duration Sensitivity'!G26</f>
        <v>247.30298417995189</v>
      </c>
    </row>
    <row r="115" spans="2:21" ht="39.75" customHeight="1" x14ac:dyDescent="0.25">
      <c r="B115" s="149" t="s">
        <v>391</v>
      </c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</row>
  </sheetData>
  <mergeCells count="31">
    <mergeCell ref="B2:U2"/>
    <mergeCell ref="B3:U3"/>
    <mergeCell ref="B5:U5"/>
    <mergeCell ref="D6:E6"/>
    <mergeCell ref="G6:I6"/>
    <mergeCell ref="J6:L6"/>
    <mergeCell ref="M6:O6"/>
    <mergeCell ref="P6:R6"/>
    <mergeCell ref="S6:U6"/>
    <mergeCell ref="V6:X6"/>
    <mergeCell ref="B8:Y8"/>
    <mergeCell ref="B14:Y14"/>
    <mergeCell ref="B20:Y20"/>
    <mergeCell ref="B27:U27"/>
    <mergeCell ref="B30:K30"/>
    <mergeCell ref="B38:I38"/>
    <mergeCell ref="B78:O78"/>
    <mergeCell ref="B79:O79"/>
    <mergeCell ref="B83:U83"/>
    <mergeCell ref="B107:K107"/>
    <mergeCell ref="B115:U115"/>
    <mergeCell ref="S84:U84"/>
    <mergeCell ref="V84:X84"/>
    <mergeCell ref="B90:U90"/>
    <mergeCell ref="B92:O92"/>
    <mergeCell ref="B100:J100"/>
    <mergeCell ref="D84:E84"/>
    <mergeCell ref="G84:I84"/>
    <mergeCell ref="J84:L84"/>
    <mergeCell ref="M84:O84"/>
    <mergeCell ref="P84:R8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Assumptions</vt:lpstr>
      <vt:lpstr>Gas Plant LCOE</vt:lpstr>
      <vt:lpstr>Offshore Wind LCOE</vt:lpstr>
      <vt:lpstr>Crossover Analysis</vt:lpstr>
      <vt:lpstr>Charts</vt:lpstr>
      <vt:lpstr>BESS Duration Sensitivity</vt:lpstr>
      <vt:lpstr>Duration Crossover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Richard Ellenbogen</cp:lastModifiedBy>
  <cp:revision>4</cp:revision>
  <dcterms:created xsi:type="dcterms:W3CDTF">2026-04-24T02:11:22Z</dcterms:created>
  <dcterms:modified xsi:type="dcterms:W3CDTF">2026-04-25T22:00:07Z</dcterms:modified>
  <dc:language>en-US</dc:language>
</cp:coreProperties>
</file>