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csdnas02\staffhome\mheimroth\Documents\mheimroth\Meghan's Personal File\Taxes\Terrel Hills Water Inc\"/>
    </mc:Choice>
  </mc:AlternateContent>
  <bookViews>
    <workbookView xWindow="0" yWindow="0" windowWidth="23040" windowHeight="9192"/>
  </bookViews>
  <sheets>
    <sheet name="Comparative Analysis revised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49" i="1"/>
  <c r="G48" i="1"/>
  <c r="E43" i="1"/>
  <c r="F43" i="1" s="1"/>
  <c r="H43" i="1" s="1"/>
  <c r="D43" i="1"/>
  <c r="C43" i="1"/>
  <c r="G32" i="1"/>
  <c r="F32" i="1"/>
  <c r="H32" i="1" s="1"/>
  <c r="F31" i="1"/>
  <c r="F26" i="1"/>
  <c r="H26" i="1" s="1"/>
  <c r="E26" i="1"/>
  <c r="D26" i="1"/>
  <c r="C26" i="1"/>
  <c r="H24" i="1"/>
  <c r="G24" i="1"/>
  <c r="F24" i="1"/>
  <c r="F23" i="1"/>
  <c r="H22" i="1"/>
  <c r="F22" i="1"/>
  <c r="F21" i="1"/>
  <c r="H21" i="1" s="1"/>
  <c r="H20" i="1"/>
  <c r="G20" i="1"/>
  <c r="F20" i="1"/>
  <c r="F19" i="1"/>
  <c r="H19" i="1" s="1"/>
  <c r="F18" i="1"/>
  <c r="H18" i="1" s="1"/>
  <c r="G17" i="1"/>
  <c r="F17" i="1" s="1"/>
  <c r="H17" i="1" s="1"/>
  <c r="F16" i="1"/>
  <c r="F15" i="1"/>
  <c r="H15" i="1" s="1"/>
  <c r="F14" i="1"/>
  <c r="E13" i="1"/>
  <c r="E28" i="1" s="1"/>
  <c r="E39" i="1" s="1"/>
  <c r="E41" i="1" s="1"/>
  <c r="E44" i="1" s="1"/>
  <c r="D13" i="1"/>
  <c r="D28" i="1" s="1"/>
  <c r="D39" i="1" s="1"/>
  <c r="D41" i="1" s="1"/>
  <c r="D44" i="1" s="1"/>
  <c r="C13" i="1"/>
  <c r="C28" i="1" s="1"/>
  <c r="C39" i="1" s="1"/>
  <c r="C41" i="1" s="1"/>
  <c r="C44" i="1" s="1"/>
  <c r="F12" i="1"/>
  <c r="H12" i="1" s="1"/>
  <c r="F11" i="1"/>
  <c r="H11" i="1" s="1"/>
  <c r="F10" i="1"/>
  <c r="H9" i="1"/>
  <c r="F9" i="1"/>
  <c r="F13" i="1" l="1"/>
  <c r="H13" i="1" s="1"/>
  <c r="G80" i="1"/>
  <c r="G28" i="1"/>
  <c r="G47" i="1" l="1"/>
  <c r="F28" i="1"/>
  <c r="H28" i="1" s="1"/>
  <c r="G39" i="1"/>
  <c r="F39" i="1" l="1"/>
  <c r="H39" i="1" s="1"/>
  <c r="G5" i="1"/>
  <c r="G41" i="1" l="1"/>
  <c r="F5" i="1"/>
  <c r="H5" i="1" l="1"/>
  <c r="G54" i="1" s="1"/>
  <c r="G53" i="1"/>
  <c r="G44" i="1"/>
  <c r="F44" i="1" s="1"/>
  <c r="H44" i="1" s="1"/>
  <c r="G50" i="1"/>
  <c r="G51" i="1" s="1"/>
  <c r="F41" i="1"/>
  <c r="H41" i="1" s="1"/>
  <c r="G84" i="1" l="1"/>
  <c r="G87" i="1" s="1"/>
  <c r="H87" i="1" s="1"/>
  <c r="G75" i="1"/>
  <c r="G64" i="1"/>
  <c r="G67" i="1" s="1"/>
  <c r="G83" i="1"/>
  <c r="G86" i="1" s="1"/>
  <c r="H86" i="1" s="1"/>
  <c r="G63" i="1"/>
  <c r="G66" i="1" s="1"/>
  <c r="G78" i="1"/>
  <c r="G59" i="1"/>
  <c r="H59" i="1" s="1"/>
  <c r="G60" i="1"/>
  <c r="H60" i="1" s="1"/>
  <c r="H67" i="1" l="1"/>
  <c r="G71" i="1"/>
  <c r="G79" i="1"/>
  <c r="H79" i="1" s="1"/>
  <c r="G77" i="1"/>
  <c r="H66" i="1"/>
  <c r="G70" i="1"/>
  <c r="G72" i="1" s="1"/>
</calcChain>
</file>

<file path=xl/sharedStrings.xml><?xml version="1.0" encoding="utf-8"?>
<sst xmlns="http://schemas.openxmlformats.org/spreadsheetml/2006/main" count="99" uniqueCount="82">
  <si>
    <t>Comparative Income Statement</t>
  </si>
  <si>
    <t>Actual Figures</t>
  </si>
  <si>
    <t>Projected Figures</t>
  </si>
  <si>
    <t>Year 1
2015</t>
  </si>
  <si>
    <t>Year 2
2016</t>
  </si>
  <si>
    <t>Year 3 
2017 
(Base Year)</t>
  </si>
  <si>
    <t>Forecast Changes</t>
  </si>
  <si>
    <t>Rate Year</t>
  </si>
  <si>
    <t>Percentage Change</t>
  </si>
  <si>
    <t>Notes</t>
  </si>
  <si>
    <t>(a)</t>
  </si>
  <si>
    <t>(b)</t>
  </si>
  <si>
    <t>(c=a+b)</t>
  </si>
  <si>
    <t>(b/a)</t>
  </si>
  <si>
    <t>Operating Revenue</t>
  </si>
  <si>
    <t>Increase covers the cost of actual expenditures</t>
  </si>
  <si>
    <t>O&amp;M Expenses</t>
  </si>
  <si>
    <t>Officer's Salary</t>
  </si>
  <si>
    <t>Would like to draw down a nominal, reasonable salary for both officers from the company</t>
  </si>
  <si>
    <t>Supervisor's Salary</t>
  </si>
  <si>
    <t>Operator's Salary</t>
  </si>
  <si>
    <t>Increase to cover owed salary increase</t>
  </si>
  <si>
    <t>Materials</t>
  </si>
  <si>
    <t>Increase to account for add'al equip. &amp; repairs</t>
  </si>
  <si>
    <t>Office Expenses</t>
  </si>
  <si>
    <t>Rent</t>
  </si>
  <si>
    <t xml:space="preserve">Power Purchases </t>
  </si>
  <si>
    <t>Increase to cover true cost of power</t>
  </si>
  <si>
    <t>Purification Chemicals</t>
  </si>
  <si>
    <t>Transportation</t>
  </si>
  <si>
    <t>Estimate 2.5% for annual rate increases</t>
  </si>
  <si>
    <t>Bookkeeping</t>
  </si>
  <si>
    <t>Allowable expense</t>
  </si>
  <si>
    <t>Billing &amp; Meter Reading</t>
  </si>
  <si>
    <t>Insurance</t>
  </si>
  <si>
    <t>Repairs</t>
  </si>
  <si>
    <t>Cover cost associated with immediate repairs</t>
  </si>
  <si>
    <t>Accounting</t>
  </si>
  <si>
    <t>Increase covers payment for total service</t>
  </si>
  <si>
    <t>Professional Fees</t>
  </si>
  <si>
    <t>Water Testing</t>
  </si>
  <si>
    <t>Basic water testing plus diver as required by DOH</t>
  </si>
  <si>
    <t>Rate Case Expenses</t>
  </si>
  <si>
    <t>Miscellaneous</t>
  </si>
  <si>
    <t>Estimate small increase for incidentals</t>
  </si>
  <si>
    <t>Total O&amp;M Expenses</t>
  </si>
  <si>
    <t>Amortizations</t>
  </si>
  <si>
    <t>Depreciation</t>
  </si>
  <si>
    <t>Property Taxes</t>
  </si>
  <si>
    <t>Estimate 3.5% for annual rate increases</t>
  </si>
  <si>
    <t>Revenue Taxes</t>
  </si>
  <si>
    <t>MTA Taxes</t>
  </si>
  <si>
    <t>Payroll Taxes</t>
  </si>
  <si>
    <t>Federal Income Taxes</t>
  </si>
  <si>
    <t>Anticipating a small profit once rates increase</t>
  </si>
  <si>
    <t>Other Taxes (State)</t>
  </si>
  <si>
    <t>Total Deductions 
(Lines 19 thru 27)</t>
  </si>
  <si>
    <t>Utility Operating Income - 
Profit (Line 1 - Line 28)</t>
  </si>
  <si>
    <t>Rate Base (per thousand gallon)</t>
  </si>
  <si>
    <t>Rate of Return</t>
  </si>
  <si>
    <t>Rate increase will provide for small positive ROR</t>
  </si>
  <si>
    <t>Revenue Requirements</t>
  </si>
  <si>
    <t>Depreciation Expense</t>
  </si>
  <si>
    <t>Taxes</t>
  </si>
  <si>
    <t>ROI</t>
  </si>
  <si>
    <t>Revenue Shortfall at current rates</t>
  </si>
  <si>
    <t>Overall rate increase needed</t>
  </si>
  <si>
    <t>% increase applied across the board using current "40/60" rate design</t>
  </si>
  <si>
    <t xml:space="preserve"># customers </t>
  </si>
  <si>
    <t>quarterly min. charge</t>
  </si>
  <si>
    <t>usage rate/TG</t>
  </si>
  <si>
    <t>Alternate "75/25"  rate design</t>
  </si>
  <si>
    <t>Annual revenues from min. charge</t>
  </si>
  <si>
    <t>Annual revenues from usage rate</t>
  </si>
  <si>
    <t>Average Billable gallons</t>
  </si>
  <si>
    <t>Math Check</t>
  </si>
  <si>
    <t>Total revenues</t>
  </si>
  <si>
    <t>Alternate keeping existing $3.50/TG usage rate</t>
  </si>
  <si>
    <t>% Annual revenues from min. charge</t>
  </si>
  <si>
    <t>% Annual revenues from usage rate</t>
  </si>
  <si>
    <t>No change</t>
  </si>
  <si>
    <t>Alternate "70/30"  rate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</si>
</sst>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42" fontId="0" fillId="0" borderId="11" xfId="0" applyNumberFormat="1" applyBorder="1"/>
    <xf numFmtId="42" fontId="0" fillId="0" borderId="12" xfId="0" applyNumberFormat="1" applyBorder="1"/>
    <xf numFmtId="10" fontId="0" fillId="0" borderId="13" xfId="0" applyNumberFormat="1" applyBorder="1"/>
    <xf numFmtId="0" fontId="5" fillId="0" borderId="11" xfId="0" applyFont="1" applyBorder="1" applyAlignment="1">
      <alignment horizontal="center"/>
    </xf>
    <xf numFmtId="0" fontId="0" fillId="0" borderId="14" xfId="0" applyBorder="1" applyAlignment="1">
      <alignment wrapText="1"/>
    </xf>
    <xf numFmtId="0" fontId="6" fillId="0" borderId="14" xfId="0" applyFont="1" applyBorder="1"/>
    <xf numFmtId="0" fontId="0" fillId="0" borderId="11" xfId="0" applyBorder="1" applyAlignment="1">
      <alignment wrapText="1"/>
    </xf>
    <xf numFmtId="3" fontId="0" fillId="0" borderId="11" xfId="0" applyNumberFormat="1" applyBorder="1"/>
    <xf numFmtId="37" fontId="0" fillId="0" borderId="11" xfId="0" applyNumberFormat="1" applyBorder="1"/>
    <xf numFmtId="37" fontId="0" fillId="0" borderId="12" xfId="0" applyNumberFormat="1" applyBorder="1"/>
    <xf numFmtId="0" fontId="0" fillId="0" borderId="15" xfId="0" applyBorder="1"/>
    <xf numFmtId="0" fontId="0" fillId="0" borderId="16" xfId="0" applyBorder="1"/>
    <xf numFmtId="10" fontId="0" fillId="0" borderId="16" xfId="0" applyNumberFormat="1" applyBorder="1"/>
    <xf numFmtId="0" fontId="0" fillId="0" borderId="17" xfId="0" applyBorder="1"/>
    <xf numFmtId="42" fontId="0" fillId="0" borderId="0" xfId="0" applyNumberFormat="1"/>
    <xf numFmtId="42" fontId="7" fillId="0" borderId="0" xfId="0" applyNumberFormat="1" applyFont="1" applyAlignment="1">
      <alignment horizontal="center"/>
    </xf>
    <xf numFmtId="42" fontId="0" fillId="0" borderId="0" xfId="0" applyNumberFormat="1" applyAlignment="1">
      <alignment horizontal="right"/>
    </xf>
    <xf numFmtId="42" fontId="0" fillId="0" borderId="0" xfId="0" applyNumberFormat="1" applyFill="1" applyBorder="1" applyAlignment="1">
      <alignment horizontal="right"/>
    </xf>
    <xf numFmtId="42" fontId="1" fillId="0" borderId="0" xfId="0" applyNumberFormat="1" applyFont="1" applyFill="1" applyBorder="1" applyAlignment="1">
      <alignment horizontal="right"/>
    </xf>
    <xf numFmtId="42" fontId="8" fillId="0" borderId="0" xfId="0" applyNumberFormat="1" applyFont="1"/>
    <xf numFmtId="10" fontId="0" fillId="0" borderId="0" xfId="0" applyNumberFormat="1"/>
    <xf numFmtId="0" fontId="9" fillId="0" borderId="0" xfId="0" applyFont="1" applyAlignment="1">
      <alignment wrapText="1"/>
    </xf>
    <xf numFmtId="44" fontId="0" fillId="0" borderId="0" xfId="0" applyNumberForma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40" zoomScaleNormal="100" workbookViewId="0">
      <selection activeCell="G87" sqref="G87"/>
    </sheetView>
  </sheetViews>
  <sheetFormatPr defaultRowHeight="14.4" x14ac:dyDescent="0.3"/>
  <cols>
    <col min="2" max="2" width="31" customWidth="1"/>
    <col min="3" max="3" width="11.5546875" bestFit="1" customWidth="1"/>
    <col min="4" max="4" width="11" bestFit="1" customWidth="1"/>
    <col min="5" max="5" width="11.5546875" bestFit="1" customWidth="1"/>
    <col min="6" max="6" width="16.44140625" bestFit="1" customWidth="1"/>
    <col min="7" max="7" width="16.44140625" customWidth="1"/>
    <col min="8" max="8" width="11.109375" customWidth="1"/>
    <col min="9" max="9" width="43.33203125" customWidth="1"/>
  </cols>
  <sheetData>
    <row r="1" spans="1:9" ht="18" x14ac:dyDescent="0.3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3">
      <c r="A2" s="4" t="s">
        <v>1</v>
      </c>
      <c r="B2" s="5"/>
      <c r="C2" s="5"/>
      <c r="D2" s="5"/>
      <c r="E2" s="5"/>
      <c r="F2" s="5"/>
      <c r="G2" s="4" t="s">
        <v>2</v>
      </c>
      <c r="H2" s="6"/>
      <c r="I2" s="7"/>
    </row>
    <row r="3" spans="1:9" ht="43.2" x14ac:dyDescent="0.3">
      <c r="A3" s="8"/>
      <c r="B3" s="9"/>
      <c r="C3" s="10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13" t="s">
        <v>8</v>
      </c>
      <c r="I3" s="14" t="s">
        <v>9</v>
      </c>
    </row>
    <row r="4" spans="1:9" x14ac:dyDescent="0.3">
      <c r="A4" s="15"/>
      <c r="B4" s="16"/>
      <c r="C4" s="16"/>
      <c r="D4" s="16"/>
      <c r="E4" s="17" t="s">
        <v>10</v>
      </c>
      <c r="F4" s="17" t="s">
        <v>11</v>
      </c>
      <c r="G4" s="18" t="s">
        <v>12</v>
      </c>
      <c r="H4" s="19" t="s">
        <v>13</v>
      </c>
      <c r="I4" s="20"/>
    </row>
    <row r="5" spans="1:9" x14ac:dyDescent="0.3">
      <c r="A5" s="15">
        <v>1</v>
      </c>
      <c r="B5" s="16" t="s">
        <v>14</v>
      </c>
      <c r="C5" s="21">
        <v>49659</v>
      </c>
      <c r="D5" s="21">
        <v>51245</v>
      </c>
      <c r="E5" s="21">
        <v>49332</v>
      </c>
      <c r="F5" s="21">
        <f>G5-E5</f>
        <v>51003.225000000006</v>
      </c>
      <c r="G5" s="22">
        <f>G39+10148</f>
        <v>100335.22500000001</v>
      </c>
      <c r="H5" s="23">
        <f>F5/E5</f>
        <v>1.0338770980296765</v>
      </c>
      <c r="I5" s="20" t="s">
        <v>15</v>
      </c>
    </row>
    <row r="6" spans="1:9" x14ac:dyDescent="0.3">
      <c r="A6" s="15"/>
      <c r="B6" s="16"/>
      <c r="C6" s="21"/>
      <c r="D6" s="21"/>
      <c r="E6" s="21"/>
      <c r="F6" s="21"/>
      <c r="G6" s="22"/>
      <c r="H6" s="23"/>
      <c r="I6" s="20"/>
    </row>
    <row r="7" spans="1:9" x14ac:dyDescent="0.3">
      <c r="A7" s="15"/>
      <c r="B7" s="24" t="s">
        <v>16</v>
      </c>
      <c r="C7" s="21"/>
      <c r="D7" s="21"/>
      <c r="E7" s="21"/>
      <c r="F7" s="21"/>
      <c r="G7" s="22"/>
      <c r="H7" s="23"/>
      <c r="I7" s="20"/>
    </row>
    <row r="8" spans="1:9" x14ac:dyDescent="0.3">
      <c r="A8" s="15"/>
      <c r="B8" s="16"/>
      <c r="C8" s="21"/>
      <c r="D8" s="21"/>
      <c r="E8" s="21"/>
      <c r="F8" s="21"/>
      <c r="G8" s="22"/>
      <c r="H8" s="23"/>
      <c r="I8" s="20"/>
    </row>
    <row r="9" spans="1:9" ht="28.8" x14ac:dyDescent="0.3">
      <c r="A9" s="15">
        <v>2</v>
      </c>
      <c r="B9" s="16" t="s">
        <v>17</v>
      </c>
      <c r="C9" s="21">
        <v>25400</v>
      </c>
      <c r="D9" s="21">
        <v>15400</v>
      </c>
      <c r="E9" s="21">
        <v>12770</v>
      </c>
      <c r="F9" s="21">
        <f t="shared" ref="F9:F28" si="0">G9-E9</f>
        <v>10230</v>
      </c>
      <c r="G9" s="22">
        <v>23000</v>
      </c>
      <c r="H9" s="23">
        <f t="shared" ref="H9:H13" si="1">F9/E9</f>
        <v>0.80109631949882543</v>
      </c>
      <c r="I9" s="25" t="s">
        <v>18</v>
      </c>
    </row>
    <row r="10" spans="1:9" x14ac:dyDescent="0.3">
      <c r="A10" s="15">
        <v>3</v>
      </c>
      <c r="B10" s="16" t="s">
        <v>19</v>
      </c>
      <c r="C10" s="21">
        <v>0</v>
      </c>
      <c r="D10" s="21">
        <v>0</v>
      </c>
      <c r="E10" s="21">
        <v>0</v>
      </c>
      <c r="F10" s="21">
        <f t="shared" si="0"/>
        <v>0</v>
      </c>
      <c r="G10" s="22">
        <v>0</v>
      </c>
      <c r="H10" s="23">
        <v>0</v>
      </c>
      <c r="I10" s="20"/>
    </row>
    <row r="11" spans="1:9" x14ac:dyDescent="0.3">
      <c r="A11" s="15">
        <v>4</v>
      </c>
      <c r="B11" s="16" t="s">
        <v>20</v>
      </c>
      <c r="C11" s="21">
        <v>4800</v>
      </c>
      <c r="D11" s="21">
        <v>4800</v>
      </c>
      <c r="E11" s="21">
        <v>4800</v>
      </c>
      <c r="F11" s="21">
        <f t="shared" si="0"/>
        <v>1200</v>
      </c>
      <c r="G11" s="22">
        <v>6000</v>
      </c>
      <c r="H11" s="23">
        <f t="shared" si="1"/>
        <v>0.25</v>
      </c>
      <c r="I11" s="20" t="s">
        <v>21</v>
      </c>
    </row>
    <row r="12" spans="1:9" x14ac:dyDescent="0.3">
      <c r="A12" s="15">
        <v>5</v>
      </c>
      <c r="B12" s="16" t="s">
        <v>22</v>
      </c>
      <c r="C12" s="21">
        <v>259</v>
      </c>
      <c r="D12" s="21">
        <v>398</v>
      </c>
      <c r="E12" s="21">
        <v>395</v>
      </c>
      <c r="F12" s="21">
        <f t="shared" si="0"/>
        <v>105</v>
      </c>
      <c r="G12" s="22">
        <v>500</v>
      </c>
      <c r="H12" s="23">
        <f t="shared" si="1"/>
        <v>0.26582278481012656</v>
      </c>
      <c r="I12" s="20" t="s">
        <v>23</v>
      </c>
    </row>
    <row r="13" spans="1:9" x14ac:dyDescent="0.3">
      <c r="A13" s="15">
        <v>6</v>
      </c>
      <c r="B13" s="16" t="s">
        <v>24</v>
      </c>
      <c r="C13" s="21">
        <f>392</f>
        <v>392</v>
      </c>
      <c r="D13" s="21">
        <f>1232</f>
        <v>1232</v>
      </c>
      <c r="E13" s="21">
        <f>1152</f>
        <v>1152</v>
      </c>
      <c r="F13" s="21">
        <f t="shared" si="0"/>
        <v>348</v>
      </c>
      <c r="G13" s="22">
        <v>1500</v>
      </c>
      <c r="H13" s="23">
        <f t="shared" si="1"/>
        <v>0.30208333333333331</v>
      </c>
      <c r="I13" s="20" t="s">
        <v>23</v>
      </c>
    </row>
    <row r="14" spans="1:9" x14ac:dyDescent="0.3">
      <c r="A14" s="15">
        <v>7</v>
      </c>
      <c r="B14" s="16" t="s">
        <v>25</v>
      </c>
      <c r="C14" s="21">
        <v>0</v>
      </c>
      <c r="D14" s="21">
        <v>0</v>
      </c>
      <c r="E14" s="21">
        <v>0</v>
      </c>
      <c r="F14" s="21">
        <f t="shared" si="0"/>
        <v>0</v>
      </c>
      <c r="G14" s="22">
        <v>0</v>
      </c>
      <c r="H14" s="23">
        <v>0</v>
      </c>
      <c r="I14" s="20"/>
    </row>
    <row r="15" spans="1:9" x14ac:dyDescent="0.3">
      <c r="A15" s="15">
        <v>8</v>
      </c>
      <c r="B15" s="16" t="s">
        <v>26</v>
      </c>
      <c r="C15" s="21">
        <v>7681</v>
      </c>
      <c r="D15" s="21">
        <v>7774</v>
      </c>
      <c r="E15" s="21">
        <v>8663</v>
      </c>
      <c r="F15" s="21">
        <f t="shared" si="0"/>
        <v>5337</v>
      </c>
      <c r="G15" s="22">
        <v>14000</v>
      </c>
      <c r="H15" s="23">
        <f>F15/E15</f>
        <v>0.61606833660394777</v>
      </c>
      <c r="I15" s="20" t="s">
        <v>27</v>
      </c>
    </row>
    <row r="16" spans="1:9" x14ac:dyDescent="0.3">
      <c r="A16" s="15">
        <v>9</v>
      </c>
      <c r="B16" s="16" t="s">
        <v>28</v>
      </c>
      <c r="C16" s="21">
        <v>304</v>
      </c>
      <c r="D16" s="21">
        <v>500</v>
      </c>
      <c r="E16" s="21">
        <v>600</v>
      </c>
      <c r="F16" s="21">
        <f t="shared" si="0"/>
        <v>400</v>
      </c>
      <c r="G16" s="22">
        <v>1000</v>
      </c>
      <c r="H16" s="23">
        <v>0</v>
      </c>
      <c r="I16" s="20"/>
    </row>
    <row r="17" spans="1:9" x14ac:dyDescent="0.3">
      <c r="A17" s="15">
        <v>10</v>
      </c>
      <c r="B17" s="16" t="s">
        <v>29</v>
      </c>
      <c r="C17" s="21">
        <v>863</v>
      </c>
      <c r="D17" s="21">
        <v>690</v>
      </c>
      <c r="E17" s="21">
        <v>2001</v>
      </c>
      <c r="F17" s="21">
        <f t="shared" si="0"/>
        <v>50.024999999999636</v>
      </c>
      <c r="G17" s="22">
        <f>E17*1.025</f>
        <v>2051.0249999999996</v>
      </c>
      <c r="H17" s="23">
        <f t="shared" ref="H17:H24" si="2">F17/E17</f>
        <v>2.4999999999999818E-2</v>
      </c>
      <c r="I17" s="20" t="s">
        <v>30</v>
      </c>
    </row>
    <row r="18" spans="1:9" x14ac:dyDescent="0.3">
      <c r="A18" s="15">
        <v>11</v>
      </c>
      <c r="B18" s="16" t="s">
        <v>31</v>
      </c>
      <c r="C18" s="21">
        <v>2000</v>
      </c>
      <c r="D18" s="21">
        <v>2500</v>
      </c>
      <c r="E18" s="21">
        <v>3000</v>
      </c>
      <c r="F18" s="21">
        <f t="shared" si="0"/>
        <v>1500</v>
      </c>
      <c r="G18" s="22">
        <v>4500</v>
      </c>
      <c r="H18" s="23">
        <f t="shared" si="2"/>
        <v>0.5</v>
      </c>
      <c r="I18" s="20" t="s">
        <v>32</v>
      </c>
    </row>
    <row r="19" spans="1:9" x14ac:dyDescent="0.3">
      <c r="A19" s="15">
        <v>12</v>
      </c>
      <c r="B19" s="16" t="s">
        <v>33</v>
      </c>
      <c r="C19" s="21">
        <v>2800</v>
      </c>
      <c r="D19" s="21">
        <v>2900</v>
      </c>
      <c r="E19" s="21">
        <v>3000</v>
      </c>
      <c r="F19" s="21">
        <f t="shared" si="0"/>
        <v>1500</v>
      </c>
      <c r="G19" s="22">
        <v>4500</v>
      </c>
      <c r="H19" s="23">
        <f t="shared" si="2"/>
        <v>0.5</v>
      </c>
      <c r="I19" s="26"/>
    </row>
    <row r="20" spans="1:9" x14ac:dyDescent="0.3">
      <c r="A20" s="15">
        <v>13</v>
      </c>
      <c r="B20" s="16" t="s">
        <v>34</v>
      </c>
      <c r="C20" s="21">
        <v>3740</v>
      </c>
      <c r="D20" s="21">
        <v>3740</v>
      </c>
      <c r="E20" s="21">
        <v>3698</v>
      </c>
      <c r="F20" s="21">
        <f t="shared" si="0"/>
        <v>92.449999999999818</v>
      </c>
      <c r="G20" s="22">
        <f>E20*1.025</f>
        <v>3790.45</v>
      </c>
      <c r="H20" s="23">
        <f t="shared" si="2"/>
        <v>2.4999999999999949E-2</v>
      </c>
      <c r="I20" s="20" t="s">
        <v>30</v>
      </c>
    </row>
    <row r="21" spans="1:9" x14ac:dyDescent="0.3">
      <c r="A21" s="15">
        <v>14</v>
      </c>
      <c r="B21" s="16" t="s">
        <v>35</v>
      </c>
      <c r="C21" s="21">
        <v>2000</v>
      </c>
      <c r="D21" s="21">
        <v>1944</v>
      </c>
      <c r="E21" s="21">
        <v>2500</v>
      </c>
      <c r="F21" s="21">
        <f t="shared" si="0"/>
        <v>2500</v>
      </c>
      <c r="G21" s="22">
        <v>5000</v>
      </c>
      <c r="H21" s="23">
        <f t="shared" si="2"/>
        <v>1</v>
      </c>
      <c r="I21" s="20" t="s">
        <v>36</v>
      </c>
    </row>
    <row r="22" spans="1:9" x14ac:dyDescent="0.3">
      <c r="A22" s="15">
        <v>15</v>
      </c>
      <c r="B22" s="16" t="s">
        <v>37</v>
      </c>
      <c r="C22" s="21">
        <v>1000</v>
      </c>
      <c r="D22" s="21">
        <v>450</v>
      </c>
      <c r="E22" s="21">
        <v>400</v>
      </c>
      <c r="F22" s="21">
        <f t="shared" si="0"/>
        <v>1100</v>
      </c>
      <c r="G22" s="22">
        <v>1500</v>
      </c>
      <c r="H22" s="23">
        <f t="shared" si="2"/>
        <v>2.75</v>
      </c>
      <c r="I22" s="20" t="s">
        <v>38</v>
      </c>
    </row>
    <row r="23" spans="1:9" x14ac:dyDescent="0.3">
      <c r="A23" s="15">
        <v>16</v>
      </c>
      <c r="B23" s="16" t="s">
        <v>39</v>
      </c>
      <c r="C23" s="21">
        <v>0</v>
      </c>
      <c r="D23" s="21">
        <v>0</v>
      </c>
      <c r="E23" s="21">
        <v>0</v>
      </c>
      <c r="F23" s="21">
        <f t="shared" si="0"/>
        <v>0</v>
      </c>
      <c r="G23" s="22">
        <v>0</v>
      </c>
      <c r="H23" s="23">
        <v>0</v>
      </c>
      <c r="I23" s="20"/>
    </row>
    <row r="24" spans="1:9" x14ac:dyDescent="0.3">
      <c r="A24" s="15">
        <v>17</v>
      </c>
      <c r="B24" s="16" t="s">
        <v>40</v>
      </c>
      <c r="C24" s="21">
        <v>2232</v>
      </c>
      <c r="D24" s="21">
        <v>1583</v>
      </c>
      <c r="E24" s="21">
        <v>1139</v>
      </c>
      <c r="F24" s="21">
        <f t="shared" si="0"/>
        <v>4861</v>
      </c>
      <c r="G24" s="22">
        <f>4800+1200</f>
        <v>6000</v>
      </c>
      <c r="H24" s="23">
        <f t="shared" si="2"/>
        <v>4.2677787532923617</v>
      </c>
      <c r="I24" s="20" t="s">
        <v>41</v>
      </c>
    </row>
    <row r="25" spans="1:9" x14ac:dyDescent="0.3">
      <c r="A25" s="15">
        <v>18</v>
      </c>
      <c r="B25" s="16" t="s">
        <v>42</v>
      </c>
      <c r="C25" s="21"/>
      <c r="D25" s="21"/>
      <c r="E25" s="21"/>
      <c r="F25" s="21"/>
      <c r="G25" s="22"/>
      <c r="H25" s="23"/>
      <c r="I25" s="20"/>
    </row>
    <row r="26" spans="1:9" x14ac:dyDescent="0.3">
      <c r="A26" s="15">
        <v>19</v>
      </c>
      <c r="B26" s="16" t="s">
        <v>43</v>
      </c>
      <c r="C26" s="21">
        <f>276+24+2012</f>
        <v>2312</v>
      </c>
      <c r="D26" s="21">
        <f>1166+310</f>
        <v>1476</v>
      </c>
      <c r="E26" s="21">
        <f>1866+937</f>
        <v>2803</v>
      </c>
      <c r="F26" s="21">
        <f t="shared" si="0"/>
        <v>1697</v>
      </c>
      <c r="G26" s="22">
        <v>4500</v>
      </c>
      <c r="H26" s="23">
        <f>F26/E26</f>
        <v>0.60542276132714945</v>
      </c>
      <c r="I26" s="20" t="s">
        <v>44</v>
      </c>
    </row>
    <row r="27" spans="1:9" x14ac:dyDescent="0.3">
      <c r="A27" s="15"/>
      <c r="B27" s="16"/>
      <c r="C27" s="21"/>
      <c r="D27" s="21"/>
      <c r="E27" s="21"/>
      <c r="F27" s="21"/>
      <c r="G27" s="22"/>
      <c r="H27" s="23"/>
      <c r="I27" s="20"/>
    </row>
    <row r="28" spans="1:9" x14ac:dyDescent="0.3">
      <c r="A28" s="15">
        <v>20</v>
      </c>
      <c r="B28" s="16" t="s">
        <v>45</v>
      </c>
      <c r="C28" s="21">
        <f>SUM(C9:C26)</f>
        <v>55783</v>
      </c>
      <c r="D28" s="21">
        <f>SUM(D9:D26)</f>
        <v>45387</v>
      </c>
      <c r="E28" s="21">
        <f>SUM(E9:E26)</f>
        <v>46921</v>
      </c>
      <c r="F28" s="21">
        <f t="shared" si="0"/>
        <v>30920.475000000006</v>
      </c>
      <c r="G28" s="22">
        <f>SUM(G9:G26)</f>
        <v>77841.475000000006</v>
      </c>
      <c r="H28" s="23">
        <f>F28/E28</f>
        <v>0.65899011103770178</v>
      </c>
      <c r="I28" s="20"/>
    </row>
    <row r="29" spans="1:9" x14ac:dyDescent="0.3">
      <c r="A29" s="15"/>
      <c r="B29" s="16"/>
      <c r="C29" s="21"/>
      <c r="D29" s="21"/>
      <c r="E29" s="21"/>
      <c r="F29" s="21"/>
      <c r="G29" s="22"/>
      <c r="H29" s="23"/>
      <c r="I29" s="20"/>
    </row>
    <row r="30" spans="1:9" x14ac:dyDescent="0.3">
      <c r="A30" s="15">
        <v>21</v>
      </c>
      <c r="B30" s="16" t="s">
        <v>46</v>
      </c>
      <c r="C30" s="21">
        <v>0</v>
      </c>
      <c r="D30" s="21">
        <v>0</v>
      </c>
      <c r="E30" s="21">
        <v>0</v>
      </c>
      <c r="F30" s="21">
        <v>0</v>
      </c>
      <c r="G30" s="22">
        <v>0</v>
      </c>
      <c r="H30" s="23">
        <v>0</v>
      </c>
      <c r="I30" s="20"/>
    </row>
    <row r="31" spans="1:9" x14ac:dyDescent="0.3">
      <c r="A31" s="15">
        <v>22</v>
      </c>
      <c r="B31" s="16" t="s">
        <v>47</v>
      </c>
      <c r="C31" s="21">
        <v>0</v>
      </c>
      <c r="D31" s="21">
        <v>3638</v>
      </c>
      <c r="E31" s="21">
        <v>0</v>
      </c>
      <c r="F31" s="21">
        <f t="shared" ref="F31:F32" si="3">G31-E31</f>
        <v>4161</v>
      </c>
      <c r="G31" s="21">
        <v>4161</v>
      </c>
      <c r="H31" s="23">
        <v>1</v>
      </c>
      <c r="I31" s="20"/>
    </row>
    <row r="32" spans="1:9" x14ac:dyDescent="0.3">
      <c r="A32" s="15">
        <v>23</v>
      </c>
      <c r="B32" s="16" t="s">
        <v>48</v>
      </c>
      <c r="C32" s="21">
        <v>3589</v>
      </c>
      <c r="D32" s="21">
        <v>3748</v>
      </c>
      <c r="E32" s="21">
        <v>3850</v>
      </c>
      <c r="F32" s="21">
        <f t="shared" si="3"/>
        <v>134.74999999999955</v>
      </c>
      <c r="G32" s="22">
        <f>E32*1.035</f>
        <v>3984.7499999999995</v>
      </c>
      <c r="H32" s="23">
        <f>F32/E32</f>
        <v>3.4999999999999878E-2</v>
      </c>
      <c r="I32" s="20" t="s">
        <v>49</v>
      </c>
    </row>
    <row r="33" spans="1:9" x14ac:dyDescent="0.3">
      <c r="A33" s="15">
        <v>24</v>
      </c>
      <c r="B33" s="16" t="s">
        <v>50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3">
        <v>0</v>
      </c>
      <c r="I33" s="20"/>
    </row>
    <row r="34" spans="1:9" x14ac:dyDescent="0.3">
      <c r="A34" s="15">
        <v>25</v>
      </c>
      <c r="B34" s="16" t="s">
        <v>51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3">
        <v>0</v>
      </c>
      <c r="I34" s="20"/>
    </row>
    <row r="35" spans="1:9" x14ac:dyDescent="0.3">
      <c r="A35" s="15">
        <v>26</v>
      </c>
      <c r="B35" s="16" t="s">
        <v>52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3">
        <v>0</v>
      </c>
      <c r="I35" s="20"/>
    </row>
    <row r="36" spans="1:9" x14ac:dyDescent="0.3">
      <c r="A36" s="15">
        <v>27</v>
      </c>
      <c r="B36" s="16" t="s">
        <v>53</v>
      </c>
      <c r="C36" s="21">
        <v>0</v>
      </c>
      <c r="D36" s="21">
        <v>3800</v>
      </c>
      <c r="E36" s="21">
        <v>0</v>
      </c>
      <c r="F36" s="21">
        <v>0</v>
      </c>
      <c r="G36" s="21">
        <v>4200</v>
      </c>
      <c r="H36" s="23">
        <v>0</v>
      </c>
      <c r="I36" s="20" t="s">
        <v>54</v>
      </c>
    </row>
    <row r="37" spans="1:9" x14ac:dyDescent="0.3">
      <c r="A37" s="15">
        <v>28</v>
      </c>
      <c r="B37" s="16" t="s">
        <v>55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3">
        <v>0</v>
      </c>
      <c r="I37" s="20"/>
    </row>
    <row r="38" spans="1:9" x14ac:dyDescent="0.3">
      <c r="A38" s="15"/>
      <c r="B38" s="16"/>
      <c r="C38" s="21"/>
      <c r="D38" s="21"/>
      <c r="E38" s="21"/>
      <c r="F38" s="21"/>
      <c r="G38" s="22"/>
      <c r="H38" s="23"/>
      <c r="I38" s="20"/>
    </row>
    <row r="39" spans="1:9" ht="28.8" x14ac:dyDescent="0.3">
      <c r="A39" s="15">
        <v>29</v>
      </c>
      <c r="B39" s="27" t="s">
        <v>56</v>
      </c>
      <c r="C39" s="21">
        <f>SUM(C30:C37)+C28</f>
        <v>59372</v>
      </c>
      <c r="D39" s="21">
        <f>SUM(D30:D37)+D28</f>
        <v>56573</v>
      </c>
      <c r="E39" s="21">
        <f>SUM(E30:E37)+E28</f>
        <v>50771</v>
      </c>
      <c r="F39" s="21">
        <f t="shared" ref="F39" si="4">G39-E39</f>
        <v>39416.225000000006</v>
      </c>
      <c r="G39" s="22">
        <f>SUM(G30:G37)+G28</f>
        <v>90187.225000000006</v>
      </c>
      <c r="H39" s="23">
        <f>F39/E39</f>
        <v>0.7763531346634891</v>
      </c>
      <c r="I39" s="20"/>
    </row>
    <row r="40" spans="1:9" x14ac:dyDescent="0.3">
      <c r="A40" s="15"/>
      <c r="B40" s="16"/>
      <c r="C40" s="21"/>
      <c r="D40" s="21"/>
      <c r="E40" s="21"/>
      <c r="F40" s="21"/>
      <c r="G40" s="22"/>
      <c r="H40" s="23"/>
      <c r="I40" s="20"/>
    </row>
    <row r="41" spans="1:9" ht="28.8" x14ac:dyDescent="0.3">
      <c r="A41" s="15">
        <v>30</v>
      </c>
      <c r="B41" s="27" t="s">
        <v>57</v>
      </c>
      <c r="C41" s="21">
        <f>C5-C39</f>
        <v>-9713</v>
      </c>
      <c r="D41" s="21">
        <f>D5-D39</f>
        <v>-5328</v>
      </c>
      <c r="E41" s="21">
        <f>E5-E39</f>
        <v>-1439</v>
      </c>
      <c r="F41" s="21">
        <f t="shared" ref="F41" si="5">G41-E41</f>
        <v>11587</v>
      </c>
      <c r="G41" s="22">
        <f>G5-G39</f>
        <v>10148</v>
      </c>
      <c r="H41" s="23">
        <f>F41/E41*-1</f>
        <v>8.0521195274496176</v>
      </c>
      <c r="I41" s="20"/>
    </row>
    <row r="42" spans="1:9" x14ac:dyDescent="0.3">
      <c r="A42" s="15"/>
      <c r="B42" s="16"/>
      <c r="C42" s="21"/>
      <c r="D42" s="21"/>
      <c r="E42" s="21"/>
      <c r="F42" s="21"/>
      <c r="G42" s="22"/>
      <c r="H42" s="23"/>
      <c r="I42" s="20"/>
    </row>
    <row r="43" spans="1:9" x14ac:dyDescent="0.3">
      <c r="A43" s="15">
        <v>31</v>
      </c>
      <c r="B43" s="16" t="s">
        <v>58</v>
      </c>
      <c r="C43" s="28">
        <f>0.035*1000*4*227</f>
        <v>31780</v>
      </c>
      <c r="D43" s="28">
        <f>0.035*1000*4*227</f>
        <v>31780</v>
      </c>
      <c r="E43" s="28">
        <f>0.035*1000*4*227</f>
        <v>31780</v>
      </c>
      <c r="F43" s="29">
        <f t="shared" ref="F43:F44" si="6">G43-E43</f>
        <v>86224</v>
      </c>
      <c r="G43" s="30">
        <v>118004</v>
      </c>
      <c r="H43" s="23">
        <f>F43/E43</f>
        <v>2.7131529263687852</v>
      </c>
      <c r="I43" s="25"/>
    </row>
    <row r="44" spans="1:9" x14ac:dyDescent="0.3">
      <c r="A44" s="31">
        <v>32</v>
      </c>
      <c r="B44" s="32" t="s">
        <v>59</v>
      </c>
      <c r="C44" s="33">
        <f>C41/C43</f>
        <v>-0.30563247325361864</v>
      </c>
      <c r="D44" s="33">
        <f>D41/D43</f>
        <v>-0.16765261170547513</v>
      </c>
      <c r="E44" s="33">
        <f>E41/E43</f>
        <v>-4.5280050346129641E-2</v>
      </c>
      <c r="F44" s="21">
        <f t="shared" si="6"/>
        <v>0.13127713519071119</v>
      </c>
      <c r="G44" s="33">
        <f>G41/G43</f>
        <v>8.5997084844581545E-2</v>
      </c>
      <c r="H44" s="23">
        <f>F44/E44*-1</f>
        <v>2.8992267938574021</v>
      </c>
      <c r="I44" s="34" t="s">
        <v>60</v>
      </c>
    </row>
    <row r="45" spans="1:9" x14ac:dyDescent="0.3">
      <c r="C45" s="35"/>
      <c r="D45" s="35"/>
      <c r="E45" s="35"/>
      <c r="F45" s="35"/>
      <c r="G45" s="35"/>
    </row>
    <row r="46" spans="1:9" ht="16.2" x14ac:dyDescent="0.45">
      <c r="C46" s="35"/>
      <c r="D46" s="35"/>
      <c r="E46" s="36" t="s">
        <v>61</v>
      </c>
      <c r="F46" s="36"/>
      <c r="G46" s="36"/>
    </row>
    <row r="47" spans="1:9" x14ac:dyDescent="0.3">
      <c r="C47" s="35"/>
      <c r="D47" s="35"/>
      <c r="E47" s="35"/>
      <c r="F47" s="37" t="s">
        <v>16</v>
      </c>
      <c r="G47" s="35">
        <f>G28</f>
        <v>77841.475000000006</v>
      </c>
    </row>
    <row r="48" spans="1:9" x14ac:dyDescent="0.3">
      <c r="C48" s="35"/>
      <c r="D48" s="35"/>
      <c r="E48" s="35"/>
      <c r="F48" s="37" t="s">
        <v>62</v>
      </c>
      <c r="G48" s="35">
        <f>G31</f>
        <v>4161</v>
      </c>
    </row>
    <row r="49" spans="1:8" x14ac:dyDescent="0.3">
      <c r="F49" s="38" t="s">
        <v>63</v>
      </c>
      <c r="G49" s="35">
        <f>G32+G36</f>
        <v>8184.75</v>
      </c>
    </row>
    <row r="50" spans="1:8" x14ac:dyDescent="0.3">
      <c r="F50" s="38" t="s">
        <v>64</v>
      </c>
      <c r="G50" s="35">
        <f>G41</f>
        <v>10148</v>
      </c>
    </row>
    <row r="51" spans="1:8" ht="16.2" x14ac:dyDescent="0.45">
      <c r="F51" s="39" t="s">
        <v>61</v>
      </c>
      <c r="G51" s="40">
        <f>SUM(G47:G50)</f>
        <v>100335.22500000001</v>
      </c>
    </row>
    <row r="53" spans="1:8" x14ac:dyDescent="0.3">
      <c r="F53" s="38" t="s">
        <v>65</v>
      </c>
      <c r="G53" s="35">
        <f>F5</f>
        <v>51003.225000000006</v>
      </c>
    </row>
    <row r="54" spans="1:8" x14ac:dyDescent="0.3">
      <c r="F54" s="38" t="s">
        <v>66</v>
      </c>
      <c r="G54" s="41">
        <f>H5</f>
        <v>1.0338770980296765</v>
      </c>
    </row>
    <row r="57" spans="1:8" ht="28.8" x14ac:dyDescent="0.3">
      <c r="A57">
        <v>1</v>
      </c>
      <c r="B57" s="42" t="s">
        <v>67</v>
      </c>
    </row>
    <row r="58" spans="1:8" x14ac:dyDescent="0.3">
      <c r="B58" s="42" t="s">
        <v>68</v>
      </c>
      <c r="G58">
        <v>227</v>
      </c>
    </row>
    <row r="59" spans="1:8" x14ac:dyDescent="0.3">
      <c r="B59" s="42" t="s">
        <v>69</v>
      </c>
      <c r="G59" s="43">
        <f>31.5*(1+G54)</f>
        <v>64.067128587934803</v>
      </c>
      <c r="H59" s="41">
        <f>(G59-31.5)/31.5</f>
        <v>1.0338770980296763</v>
      </c>
    </row>
    <row r="60" spans="1:8" x14ac:dyDescent="0.3">
      <c r="B60" s="42" t="s">
        <v>70</v>
      </c>
      <c r="G60" s="43">
        <f>3.5*(1+G54)</f>
        <v>7.1185698431038666</v>
      </c>
      <c r="H60" s="41">
        <f>(G60-3.5)/3.5</f>
        <v>1.0338770980296761</v>
      </c>
    </row>
    <row r="61" spans="1:8" x14ac:dyDescent="0.3">
      <c r="B61" s="44"/>
    </row>
    <row r="62" spans="1:8" x14ac:dyDescent="0.3">
      <c r="A62">
        <v>2</v>
      </c>
      <c r="B62" s="42" t="s">
        <v>71</v>
      </c>
    </row>
    <row r="63" spans="1:8" x14ac:dyDescent="0.3">
      <c r="B63" s="44" t="s">
        <v>72</v>
      </c>
      <c r="G63" s="43">
        <f>G51*0.75</f>
        <v>75251.418750000012</v>
      </c>
    </row>
    <row r="64" spans="1:8" x14ac:dyDescent="0.3">
      <c r="B64" s="44" t="s">
        <v>73</v>
      </c>
      <c r="G64" s="43">
        <f>G51*0.25</f>
        <v>25083.806250000001</v>
      </c>
    </row>
    <row r="65" spans="1:8" x14ac:dyDescent="0.3">
      <c r="B65" s="44" t="s">
        <v>74</v>
      </c>
      <c r="G65">
        <v>6136190</v>
      </c>
    </row>
    <row r="66" spans="1:8" x14ac:dyDescent="0.3">
      <c r="B66" s="42" t="s">
        <v>69</v>
      </c>
      <c r="G66" s="43">
        <f>G63/G58/4</f>
        <v>82.876011839207067</v>
      </c>
      <c r="H66" s="41">
        <f>(G66-31.5)/31.5</f>
        <v>1.6309845028319703</v>
      </c>
    </row>
    <row r="67" spans="1:8" x14ac:dyDescent="0.3">
      <c r="B67" s="42" t="s">
        <v>70</v>
      </c>
      <c r="G67" s="43">
        <f>G64/(G65/1000)</f>
        <v>4.0878470598205077</v>
      </c>
      <c r="H67" s="41">
        <f>(G67-3.5)/3.5</f>
        <v>0.16795630280585933</v>
      </c>
    </row>
    <row r="68" spans="1:8" x14ac:dyDescent="0.3">
      <c r="B68" s="44"/>
    </row>
    <row r="69" spans="1:8" x14ac:dyDescent="0.3">
      <c r="B69" s="44" t="s">
        <v>75</v>
      </c>
    </row>
    <row r="70" spans="1:8" x14ac:dyDescent="0.3">
      <c r="B70" s="44" t="s">
        <v>72</v>
      </c>
      <c r="G70" s="43">
        <f>G66*G58*4</f>
        <v>75251.418750000012</v>
      </c>
    </row>
    <row r="71" spans="1:8" x14ac:dyDescent="0.3">
      <c r="B71" s="44" t="s">
        <v>73</v>
      </c>
      <c r="G71" s="43">
        <f>G67*(G65/1000)</f>
        <v>25083.806249999998</v>
      </c>
    </row>
    <row r="72" spans="1:8" x14ac:dyDescent="0.3">
      <c r="B72" s="44" t="s">
        <v>76</v>
      </c>
      <c r="G72" s="43">
        <f>SUM(G70:G71)</f>
        <v>100335.22500000001</v>
      </c>
    </row>
    <row r="73" spans="1:8" x14ac:dyDescent="0.3">
      <c r="F73" s="44"/>
    </row>
    <row r="74" spans="1:8" ht="28.8" x14ac:dyDescent="0.3">
      <c r="A74">
        <v>3</v>
      </c>
      <c r="B74" s="42" t="s">
        <v>77</v>
      </c>
    </row>
    <row r="75" spans="1:8" x14ac:dyDescent="0.3">
      <c r="B75" s="44" t="s">
        <v>72</v>
      </c>
      <c r="G75" s="43">
        <f>G51-G76</f>
        <v>78858.560000000012</v>
      </c>
    </row>
    <row r="76" spans="1:8" x14ac:dyDescent="0.3">
      <c r="B76" s="44" t="s">
        <v>73</v>
      </c>
      <c r="G76" s="43">
        <f>3.5*(G65/1000)</f>
        <v>21476.664999999997</v>
      </c>
    </row>
    <row r="77" spans="1:8" x14ac:dyDescent="0.3">
      <c r="B77" s="44" t="s">
        <v>78</v>
      </c>
      <c r="G77" s="41">
        <f>G75/G51</f>
        <v>0.78595089610852031</v>
      </c>
    </row>
    <row r="78" spans="1:8" x14ac:dyDescent="0.3">
      <c r="B78" s="44" t="s">
        <v>79</v>
      </c>
      <c r="G78" s="41">
        <f>G76/G51</f>
        <v>0.21404910389147974</v>
      </c>
    </row>
    <row r="79" spans="1:8" x14ac:dyDescent="0.3">
      <c r="B79" s="42" t="s">
        <v>69</v>
      </c>
      <c r="G79" s="43">
        <f>G75/G58/4</f>
        <v>86.848634361233493</v>
      </c>
      <c r="H79" s="41">
        <f>(G79-31.5)/31.5</f>
        <v>1.757099503531222</v>
      </c>
    </row>
    <row r="80" spans="1:8" x14ac:dyDescent="0.3">
      <c r="B80" s="42" t="s">
        <v>70</v>
      </c>
      <c r="G80" s="43">
        <f>G76/(G65/1000)</f>
        <v>3.4999999999999996</v>
      </c>
      <c r="H80" t="s">
        <v>80</v>
      </c>
    </row>
    <row r="82" spans="1:8" x14ac:dyDescent="0.3">
      <c r="A82">
        <v>4</v>
      </c>
      <c r="B82" s="42" t="s">
        <v>81</v>
      </c>
    </row>
    <row r="83" spans="1:8" x14ac:dyDescent="0.3">
      <c r="B83" s="44" t="s">
        <v>72</v>
      </c>
      <c r="G83" s="43">
        <f>G51*0.7</f>
        <v>70234.657500000001</v>
      </c>
    </row>
    <row r="84" spans="1:8" x14ac:dyDescent="0.3">
      <c r="B84" s="44" t="s">
        <v>73</v>
      </c>
      <c r="G84" s="43">
        <f>G51*0.3</f>
        <v>30100.567500000001</v>
      </c>
    </row>
    <row r="85" spans="1:8" x14ac:dyDescent="0.3">
      <c r="B85" s="44" t="s">
        <v>74</v>
      </c>
      <c r="G85">
        <v>6136190</v>
      </c>
    </row>
    <row r="86" spans="1:8" x14ac:dyDescent="0.3">
      <c r="B86" s="42" t="s">
        <v>69</v>
      </c>
      <c r="G86" s="43">
        <f>G83/227/4</f>
        <v>77.350944383259915</v>
      </c>
      <c r="H86" s="41">
        <f>(G86-31.5)/31.5</f>
        <v>1.4555855359765053</v>
      </c>
    </row>
    <row r="87" spans="1:8" x14ac:dyDescent="0.3">
      <c r="B87" s="42" t="s">
        <v>70</v>
      </c>
      <c r="G87" s="43">
        <f>G84/(G85/1000)</f>
        <v>4.9054164717846094</v>
      </c>
      <c r="H87" s="41">
        <f>(G87-3.5)/3.5</f>
        <v>0.40154756336703123</v>
      </c>
    </row>
  </sheetData>
  <mergeCells count="4">
    <mergeCell ref="A1:I1"/>
    <mergeCell ref="A2:F2"/>
    <mergeCell ref="G2:H2"/>
    <mergeCell ref="E46:G46"/>
  </mergeCells>
  <pageMargins left="0.7" right="0.7" top="0.75" bottom="0.75" header="0.3" footer="0.3"/>
  <pageSetup scale="70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Comparative Analysis revised 3</vt:lpstr>
    </vt:vector>
  </TitlesOfParts>
  <Company>Rensselaer City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Heimroth</dc:creator>
  <cp:lastModifiedBy>Meghan Heimroth</cp:lastModifiedBy>
  <dcterms:created xsi:type="dcterms:W3CDTF">2018-10-24T00:47:18Z</dcterms:created>
  <dcterms:modified xsi:type="dcterms:W3CDTF">2018-10-24T00:48:01Z</dcterms:modified>
</cp:coreProperties>
</file>